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Stats/PCA/"/>
    </mc:Choice>
  </mc:AlternateContent>
  <xr:revisionPtr revIDLastSave="3" documentId="8_{FA251A95-CBC3-4083-9DFA-C4D9CABB804D}" xr6:coauthVersionLast="47" xr6:coauthVersionMax="47" xr10:uidLastSave="{6A6E561D-AB41-4C59-84BF-290E357B6E9B}"/>
  <bookViews>
    <workbookView xWindow="-28920" yWindow="-120" windowWidth="29040" windowHeight="15720" xr2:uid="{F944C895-4C59-4E4D-B4FB-C4B8DAC526B8}"/>
  </bookViews>
  <sheets>
    <sheet name="Sheet2" sheetId="2" r:id="rId1"/>
    <sheet name="Sheet7" sheetId="8" r:id="rId2"/>
    <sheet name="Sheet1" sheetId="9" r:id="rId3"/>
    <sheet name="Sheet3" sheetId="10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8" l="1"/>
  <c r="H18" i="8" a="1"/>
  <c r="H18" i="8" s="1"/>
  <c r="E11" i="10" a="1"/>
  <c r="E11" i="10" s="1"/>
  <c r="C11" i="10" a="1"/>
  <c r="C11" i="10" s="1"/>
  <c r="D11" i="10" a="1"/>
  <c r="D11" i="10" s="1"/>
  <c r="H12" i="10" a="1"/>
  <c r="H12" i="10" l="1"/>
  <c r="M2" i="10" a="1"/>
  <c r="M2" i="10" l="1"/>
  <c r="B11" i="10" a="1"/>
  <c r="B11" i="10" s="1"/>
  <c r="Y13" i="10"/>
  <c r="X13" i="10"/>
  <c r="D17" i="10"/>
  <c r="E8" i="10"/>
  <c r="D8" i="10"/>
  <c r="C8" i="10"/>
  <c r="B8" i="10"/>
  <c r="A4" i="9"/>
  <c r="B4" i="9"/>
  <c r="C4" i="9"/>
  <c r="A5" i="9"/>
  <c r="B5" i="9"/>
  <c r="C5" i="9"/>
  <c r="B3" i="9"/>
  <c r="C3" i="9"/>
  <c r="A3" i="9"/>
  <c r="K6" i="8"/>
  <c r="J5" i="8"/>
  <c r="I4" i="8"/>
  <c r="H3" i="8"/>
  <c r="J14" i="8"/>
  <c r="I13" i="8"/>
  <c r="H12" i="8"/>
  <c r="P18" i="10"/>
  <c r="M9" i="8"/>
  <c r="P28" i="10"/>
  <c r="O18" i="10"/>
  <c r="O18" i="8"/>
  <c r="N18" i="10"/>
  <c r="P28" i="8"/>
  <c r="S7" i="9"/>
  <c r="O28" i="10"/>
  <c r="M18" i="8"/>
  <c r="N18" i="8"/>
  <c r="M18" i="10"/>
  <c r="N28" i="8"/>
  <c r="Q7" i="9"/>
  <c r="M9" i="10"/>
  <c r="M7" i="9"/>
  <c r="M28" i="8"/>
  <c r="N28" i="10"/>
  <c r="M28" i="10"/>
  <c r="P18" i="8"/>
  <c r="O28" i="8"/>
  <c r="E17" i="10" l="1"/>
  <c r="C17" i="10"/>
  <c r="S25" i="10"/>
  <c r="V15" i="10"/>
  <c r="T3" i="10"/>
  <c r="T2" i="10"/>
  <c r="U15" i="10"/>
  <c r="T4" i="10"/>
  <c r="T15" i="10"/>
  <c r="T5" i="10"/>
  <c r="N25" i="10"/>
  <c r="P11" i="10"/>
  <c r="S15" i="10"/>
  <c r="V25" i="10"/>
  <c r="M25" i="10"/>
  <c r="U25" i="10"/>
  <c r="T25" i="10"/>
  <c r="O21" i="10"/>
  <c r="P16" i="10"/>
  <c r="O11" i="10"/>
  <c r="O13" i="10"/>
  <c r="M15" i="10"/>
  <c r="P23" i="10"/>
  <c r="M22" i="10"/>
  <c r="O25" i="10"/>
  <c r="O12" i="10"/>
  <c r="M14" i="10"/>
  <c r="M16" i="10"/>
  <c r="N15" i="10"/>
  <c r="N22" i="10"/>
  <c r="P22" i="10"/>
  <c r="N24" i="10"/>
  <c r="N16" i="10"/>
  <c r="M23" i="10"/>
  <c r="O24" i="10"/>
  <c r="O16" i="10"/>
  <c r="N21" i="10"/>
  <c r="P14" i="10"/>
  <c r="P26" i="10"/>
  <c r="M13" i="10"/>
  <c r="N14" i="10"/>
  <c r="O15" i="10"/>
  <c r="P24" i="10"/>
  <c r="P21" i="10"/>
  <c r="N23" i="10"/>
  <c r="O23" i="10"/>
  <c r="P13" i="10"/>
  <c r="N13" i="10"/>
  <c r="O14" i="10"/>
  <c r="M12" i="10"/>
  <c r="M26" i="10"/>
  <c r="N12" i="10"/>
  <c r="B17" i="10"/>
  <c r="N26" i="10"/>
  <c r="O22" i="10"/>
  <c r="M24" i="10"/>
  <c r="P25" i="10"/>
  <c r="O26" i="10"/>
  <c r="P15" i="10"/>
  <c r="M11" i="10"/>
  <c r="P12" i="10"/>
  <c r="M21" i="10"/>
  <c r="N11" i="10"/>
  <c r="Y13" i="8"/>
  <c r="X13" i="8"/>
  <c r="E16" i="8"/>
  <c r="D16" i="8"/>
  <c r="C16" i="8"/>
  <c r="B16" i="8"/>
  <c r="E15" i="8"/>
  <c r="D15" i="8"/>
  <c r="C15" i="8"/>
  <c r="B15" i="8"/>
  <c r="E14" i="8"/>
  <c r="D14" i="8"/>
  <c r="C14" i="8"/>
  <c r="B14" i="8"/>
  <c r="E13" i="8"/>
  <c r="D13" i="8"/>
  <c r="C13" i="8"/>
  <c r="B13" i="8"/>
  <c r="E12" i="8"/>
  <c r="D12" i="8"/>
  <c r="C12" i="8"/>
  <c r="B12" i="8"/>
  <c r="E11" i="8"/>
  <c r="D11" i="8"/>
  <c r="C11" i="8"/>
  <c r="B11" i="8"/>
  <c r="E8" i="8"/>
  <c r="D8" i="8"/>
  <c r="C8" i="8"/>
  <c r="B8" i="8"/>
  <c r="J6" i="8"/>
  <c r="K5" i="8" s="1"/>
  <c r="I6" i="8"/>
  <c r="K4" i="8" s="1"/>
  <c r="H6" i="8"/>
  <c r="K3" i="8" s="1"/>
  <c r="I5" i="8"/>
  <c r="J4" i="8" s="1"/>
  <c r="H5" i="8"/>
  <c r="J3" i="8" s="1"/>
  <c r="H4" i="8"/>
  <c r="I3" i="8" s="1"/>
  <c r="AC10" i="2"/>
  <c r="AK17" i="2"/>
  <c r="AH24" i="2"/>
  <c r="AJ5" i="2"/>
  <c r="AC17" i="2"/>
  <c r="M2" i="8" a="1"/>
  <c r="AC24" i="2"/>
  <c r="K15" i="8" l="1"/>
  <c r="D6" i="9" s="1"/>
  <c r="Q12" i="10"/>
  <c r="X15" i="10" s="1"/>
  <c r="Q23" i="10"/>
  <c r="Y16" i="10" s="1"/>
  <c r="O27" i="10"/>
  <c r="Q13" i="10"/>
  <c r="X16" i="10" s="1"/>
  <c r="Q25" i="10"/>
  <c r="Y18" i="10" s="1"/>
  <c r="Q15" i="10"/>
  <c r="X18" i="10" s="1"/>
  <c r="T6" i="10"/>
  <c r="U5" i="10" s="1"/>
  <c r="N17" i="10"/>
  <c r="N27" i="10"/>
  <c r="Q22" i="10"/>
  <c r="Y15" i="10" s="1"/>
  <c r="Q21" i="10"/>
  <c r="Y14" i="10" s="1"/>
  <c r="M27" i="10"/>
  <c r="Q11" i="10"/>
  <c r="X14" i="10" s="1"/>
  <c r="M17" i="10"/>
  <c r="Q24" i="10"/>
  <c r="Y17" i="10" s="1"/>
  <c r="Q26" i="10"/>
  <c r="Y19" i="10" s="1"/>
  <c r="P27" i="10"/>
  <c r="Q16" i="10"/>
  <c r="X19" i="10" s="1"/>
  <c r="O17" i="10"/>
  <c r="P17" i="10"/>
  <c r="Q14" i="10"/>
  <c r="X17" i="10" s="1"/>
  <c r="F4" i="9"/>
  <c r="F6" i="9"/>
  <c r="G4" i="9"/>
  <c r="G6" i="9"/>
  <c r="H4" i="9"/>
  <c r="H6" i="9"/>
  <c r="I4" i="9"/>
  <c r="I6" i="9"/>
  <c r="F3" i="9"/>
  <c r="F5" i="9"/>
  <c r="G3" i="9"/>
  <c r="G5" i="9"/>
  <c r="H3" i="9"/>
  <c r="H5" i="9"/>
  <c r="I3" i="9"/>
  <c r="I5" i="9"/>
  <c r="M11" i="8"/>
  <c r="T5" i="8"/>
  <c r="K6" i="9" s="1"/>
  <c r="T3" i="8"/>
  <c r="K4" i="9" s="1"/>
  <c r="T4" i="8"/>
  <c r="K5" i="9" s="1"/>
  <c r="N21" i="8"/>
  <c r="M22" i="8"/>
  <c r="M21" i="8"/>
  <c r="N12" i="8"/>
  <c r="N11" i="8"/>
  <c r="P26" i="8"/>
  <c r="N22" i="8"/>
  <c r="M2" i="8"/>
  <c r="T2" i="8" s="1"/>
  <c r="K3" i="9" s="1"/>
  <c r="U15" i="8"/>
  <c r="O22" i="8"/>
  <c r="V25" i="8"/>
  <c r="T15" i="8"/>
  <c r="M13" i="8"/>
  <c r="U25" i="8"/>
  <c r="S15" i="8"/>
  <c r="T25" i="8"/>
  <c r="P21" i="8"/>
  <c r="P16" i="8"/>
  <c r="V15" i="8"/>
  <c r="M15" i="8"/>
  <c r="N14" i="8"/>
  <c r="P12" i="8"/>
  <c r="S25" i="8"/>
  <c r="P15" i="8"/>
  <c r="N24" i="8"/>
  <c r="O13" i="8"/>
  <c r="P25" i="8"/>
  <c r="O24" i="8"/>
  <c r="P22" i="8"/>
  <c r="N15" i="8"/>
  <c r="O14" i="8"/>
  <c r="P13" i="8"/>
  <c r="O25" i="8"/>
  <c r="O12" i="8"/>
  <c r="O26" i="8"/>
  <c r="P24" i="8"/>
  <c r="N13" i="8"/>
  <c r="N25" i="8"/>
  <c r="M25" i="8"/>
  <c r="O21" i="8"/>
  <c r="O23" i="8"/>
  <c r="O15" i="8"/>
  <c r="M23" i="8"/>
  <c r="P11" i="8"/>
  <c r="P23" i="8"/>
  <c r="M24" i="8"/>
  <c r="M26" i="8"/>
  <c r="N26" i="8"/>
  <c r="H14" i="8"/>
  <c r="J12" i="8" s="1"/>
  <c r="P14" i="8"/>
  <c r="B17" i="8"/>
  <c r="I14" i="8"/>
  <c r="J13" i="8" s="1"/>
  <c r="C17" i="8"/>
  <c r="H15" i="8"/>
  <c r="H13" i="8"/>
  <c r="I12" i="8" s="1"/>
  <c r="I15" i="8"/>
  <c r="M12" i="8"/>
  <c r="M16" i="8"/>
  <c r="E17" i="8"/>
  <c r="N23" i="8"/>
  <c r="J15" i="8"/>
  <c r="O11" i="8"/>
  <c r="N16" i="8"/>
  <c r="M14" i="8"/>
  <c r="O16" i="8"/>
  <c r="K13" i="8" l="1"/>
  <c r="D4" i="9" s="1"/>
  <c r="B6" i="9"/>
  <c r="K14" i="8"/>
  <c r="D5" i="9" s="1"/>
  <c r="C6" i="9"/>
  <c r="K12" i="8"/>
  <c r="D3" i="9" s="1"/>
  <c r="M3" i="9" s="1" a="1"/>
  <c r="A6" i="9"/>
  <c r="U2" i="10"/>
  <c r="V2" i="10" s="1"/>
  <c r="U3" i="10"/>
  <c r="U4" i="10"/>
  <c r="S3" i="9" a="1"/>
  <c r="S3" i="9" s="1"/>
  <c r="Q22" i="8"/>
  <c r="Y15" i="8" s="1"/>
  <c r="Q14" i="8"/>
  <c r="X17" i="8" s="1"/>
  <c r="Q26" i="8"/>
  <c r="Y19" i="8" s="1"/>
  <c r="Q15" i="8"/>
  <c r="X18" i="8" s="1"/>
  <c r="Q25" i="8"/>
  <c r="Y18" i="8" s="1"/>
  <c r="Q16" i="8"/>
  <c r="X19" i="8" s="1"/>
  <c r="Q24" i="8"/>
  <c r="Y17" i="8" s="1"/>
  <c r="O27" i="8"/>
  <c r="Q12" i="8"/>
  <c r="X15" i="8" s="1"/>
  <c r="N17" i="8"/>
  <c r="M27" i="8"/>
  <c r="Q21" i="8"/>
  <c r="Y14" i="8" s="1"/>
  <c r="P27" i="8"/>
  <c r="Q13" i="8"/>
  <c r="X16" i="8" s="1"/>
  <c r="O17" i="8"/>
  <c r="P17" i="8"/>
  <c r="N27" i="8"/>
  <c r="Q23" i="8"/>
  <c r="Y16" i="8" s="1"/>
  <c r="T6" i="8"/>
  <c r="U5" i="8" s="1"/>
  <c r="M17" i="8"/>
  <c r="Q11" i="8"/>
  <c r="X14" i="8" s="1"/>
  <c r="U6" i="10" l="1"/>
  <c r="V3" i="10"/>
  <c r="V4" i="10" s="1"/>
  <c r="V5" i="10" s="1"/>
  <c r="M3" i="9"/>
  <c r="Q3" i="9" s="1"/>
  <c r="Q5" i="9"/>
  <c r="Q4" i="9"/>
  <c r="Q6" i="9"/>
  <c r="U2" i="8"/>
  <c r="V2" i="8" s="1"/>
  <c r="U3" i="8"/>
  <c r="U4" i="8"/>
  <c r="V3" i="8" l="1"/>
  <c r="V4" i="8" s="1"/>
  <c r="V5" i="8" s="1"/>
  <c r="U6" i="8"/>
  <c r="U13" i="2" l="1"/>
  <c r="U12" i="2"/>
  <c r="T12" i="2"/>
  <c r="U11" i="2"/>
  <c r="T11" i="2"/>
  <c r="S11" i="2"/>
  <c r="E8" i="2"/>
  <c r="E12" i="2" s="1"/>
  <c r="D8" i="2"/>
  <c r="D13" i="2" s="1"/>
  <c r="C8" i="2"/>
  <c r="C16" i="2" s="1"/>
  <c r="B8" i="2"/>
  <c r="B15" i="2" s="1"/>
  <c r="G3" i="2"/>
  <c r="W15" i="2"/>
  <c r="G15" i="2"/>
  <c r="L22" i="2"/>
  <c r="X11" i="2"/>
  <c r="L15" i="2"/>
  <c r="E14" i="2" l="1"/>
  <c r="E13" i="2"/>
  <c r="E11" i="2"/>
  <c r="D14" i="2"/>
  <c r="C15" i="2"/>
  <c r="D11" i="2"/>
  <c r="D15" i="2"/>
  <c r="D16" i="2"/>
  <c r="E16" i="2"/>
  <c r="E15" i="2"/>
  <c r="B12" i="2"/>
  <c r="C12" i="2"/>
  <c r="B13" i="2"/>
  <c r="D12" i="2"/>
  <c r="C13" i="2"/>
  <c r="B14" i="2"/>
  <c r="B16" i="2"/>
  <c r="B11" i="2"/>
  <c r="C11" i="2"/>
  <c r="C14" i="2"/>
  <c r="Y14" i="2" l="1"/>
  <c r="T13" i="2"/>
  <c r="S12" i="2"/>
  <c r="D17" i="2"/>
  <c r="U14" i="2"/>
  <c r="R11" i="2"/>
  <c r="Z14" i="2"/>
  <c r="X13" i="2"/>
  <c r="X12" i="2"/>
  <c r="C17" i="2"/>
  <c r="X14" i="2" s="1"/>
  <c r="E17" i="2"/>
  <c r="W11" i="2"/>
  <c r="L18" i="2" a="1"/>
  <c r="L18" i="2" s="1"/>
  <c r="G11" i="2" a="1"/>
  <c r="G11" i="2" s="1"/>
  <c r="L11" i="2" s="1" a="1"/>
  <c r="L11" i="2" s="1"/>
  <c r="W14" i="2"/>
  <c r="W13" i="2"/>
  <c r="W12" i="2"/>
  <c r="B17" i="2"/>
  <c r="Y13" i="2"/>
  <c r="AJ3" i="2" a="1"/>
  <c r="AC3" i="2" a="1"/>
  <c r="AJ3" i="2" l="1"/>
  <c r="AK13" i="2" a="1"/>
  <c r="AK13" i="2" s="1"/>
  <c r="AC3" i="2"/>
  <c r="AC13" i="2" s="1" a="1"/>
  <c r="AC13" i="2" s="1"/>
  <c r="AC20" i="2" l="1" a="1"/>
  <c r="AC20" i="2" s="1"/>
  <c r="AH20" i="2" a="1"/>
  <c r="AH2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<sst xmlns="http://schemas.openxmlformats.org/spreadsheetml/2006/main" count="189" uniqueCount="70">
  <si>
    <t>Column 1</t>
  </si>
  <si>
    <t>Column 2</t>
  </si>
  <si>
    <t>Column 3</t>
  </si>
  <si>
    <t>Column 4</t>
  </si>
  <si>
    <t>X</t>
  </si>
  <si>
    <t>Movie 1</t>
  </si>
  <si>
    <t>Movie 2</t>
  </si>
  <si>
    <t>Movie 3</t>
  </si>
  <si>
    <t>Movie 4</t>
  </si>
  <si>
    <t>m=</t>
  </si>
  <si>
    <t>rows</t>
  </si>
  <si>
    <t>Person 1</t>
  </si>
  <si>
    <t>n=</t>
  </si>
  <si>
    <t>columns</t>
  </si>
  <si>
    <t>Person 2</t>
  </si>
  <si>
    <t>m x n=</t>
  </si>
  <si>
    <t>Person 3</t>
  </si>
  <si>
    <t>Person 4</t>
  </si>
  <si>
    <t>Person 5</t>
  </si>
  <si>
    <t>Person 6</t>
  </si>
  <si>
    <t>Means</t>
  </si>
  <si>
    <r>
      <t>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bscript"/>
        <sz val="11"/>
        <color theme="1"/>
        <rFont val="Aptos Narrow"/>
        <family val="2"/>
        <scheme val="minor"/>
      </rPr>
      <t>c</t>
    </r>
  </si>
  <si>
    <r>
      <t>1/m X</t>
    </r>
    <r>
      <rPr>
        <vertAlign val="subscript"/>
        <sz val="11"/>
        <color theme="1"/>
        <rFont val="Aptos Narrow"/>
        <family val="2"/>
        <scheme val="minor"/>
      </rPr>
      <t>c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X</t>
    </r>
    <r>
      <rPr>
        <vertAlign val="subscript"/>
        <sz val="11"/>
        <color theme="1"/>
        <rFont val="Aptos Narrow"/>
        <family val="2"/>
        <scheme val="minor"/>
      </rPr>
      <t>c</t>
    </r>
  </si>
  <si>
    <t>Covariance matrix</t>
  </si>
  <si>
    <t>Average</t>
  </si>
  <si>
    <r>
      <t>Centred X</t>
    </r>
    <r>
      <rPr>
        <vertAlign val="subscript"/>
        <sz val="11"/>
        <color theme="1"/>
        <rFont val="Aptos Narrow"/>
        <family val="2"/>
        <scheme val="minor"/>
      </rPr>
      <t>c</t>
    </r>
  </si>
  <si>
    <t>Centred</t>
  </si>
  <si>
    <r>
      <t>Q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</si>
  <si>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>Q Q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</si>
  <si>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>Q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Q</t>
    </r>
  </si>
  <si>
    <r>
      <t>Q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 xml:space="preserve"> = Q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</si>
  <si>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 xml:space="preserve">Eigenvalues </t>
    </r>
    <r>
      <rPr>
        <sz val="11"/>
        <color theme="1"/>
        <rFont val="Symbol"/>
        <family val="1"/>
        <charset val="2"/>
      </rPr>
      <t>l</t>
    </r>
  </si>
  <si>
    <t>M1</t>
  </si>
  <si>
    <t>M2</t>
  </si>
  <si>
    <t>M3</t>
  </si>
  <si>
    <t>M4</t>
  </si>
  <si>
    <t>Explained variance</t>
  </si>
  <si>
    <t>Cum</t>
  </si>
  <si>
    <t>P1</t>
  </si>
  <si>
    <t>Eigenvalues</t>
  </si>
  <si>
    <t>P2</t>
  </si>
  <si>
    <t>Eigenvectors</t>
  </si>
  <si>
    <t>P3</t>
  </si>
  <si>
    <t>P4</t>
  </si>
  <si>
    <t>P5</t>
  </si>
  <si>
    <t>Sum</t>
  </si>
  <si>
    <t>P6</t>
  </si>
  <si>
    <t>PC1</t>
  </si>
  <si>
    <t>PC1 score</t>
  </si>
  <si>
    <t>PC1 eigenvector loading</t>
  </si>
  <si>
    <t>PC2</t>
  </si>
  <si>
    <t>PC2 score</t>
  </si>
  <si>
    <t>PC2 eigenvector loading</t>
  </si>
  <si>
    <t>Covariance (from raw data)</t>
  </si>
  <si>
    <t>Covariance (from centred data)</t>
  </si>
  <si>
    <t>Covariance matrix (single formula)</t>
  </si>
  <si>
    <t>Covariance - Data Analysis add-in</t>
  </si>
  <si>
    <t>Eigenvectors Q</t>
  </si>
  <si>
    <r>
      <rPr>
        <sz val="11"/>
        <color theme="1"/>
        <rFont val="Symbol"/>
        <family val="1"/>
        <charset val="2"/>
      </rPr>
      <t>L</t>
    </r>
    <r>
      <rPr>
        <vertAlign val="superscript"/>
        <sz val="11"/>
        <color theme="1"/>
        <rFont val="Aptos Narrow"/>
        <family val="2"/>
        <scheme val="minor"/>
      </rPr>
      <t>T</t>
    </r>
  </si>
  <si>
    <t>C</t>
  </si>
  <si>
    <t>v</t>
  </si>
  <si>
    <t>(Covar matrix)</t>
  </si>
  <si>
    <t>(Eigenvectors)</t>
  </si>
  <si>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Aptos Narrow"/>
        <family val="2"/>
        <scheme val="minor"/>
      </rPr>
      <t xml:space="preserve"> (Eigenvalues)</t>
    </r>
  </si>
  <si>
    <r>
      <rPr>
        <b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  <scheme val="minor"/>
      </rPr>
      <t>v</t>
    </r>
  </si>
  <si>
    <r>
      <t xml:space="preserve">v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Symbol"/>
        <family val="1"/>
        <charset val="2"/>
      </rPr>
      <t>l</t>
    </r>
  </si>
  <si>
    <r>
      <rPr>
        <b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Symbol"/>
        <family val="1"/>
        <charset val="2"/>
      </rPr>
      <t>×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  <scheme val="minor"/>
      </rPr>
      <t xml:space="preserve">v =  </t>
    </r>
    <r>
      <rPr>
        <sz val="11"/>
        <color theme="1"/>
        <rFont val="Symbol"/>
        <family val="1"/>
        <charset val="2"/>
      </rPr>
      <t>l ×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  <scheme val="minor"/>
      </rPr>
      <t>v</t>
    </r>
  </si>
  <si>
    <t>Standardised</t>
  </si>
  <si>
    <t>Correlation( from standardised data)</t>
  </si>
  <si>
    <t>Correlation (from raw data) - pop data, not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</si>
</sst>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73" formatCode="0E+00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name val="Aptos Narrow"/>
      <family val="2"/>
      <scheme val="minor"/>
    </font>
    <font>
      <sz val="11"/>
      <color theme="1"/>
      <name val="Aptos Narrow"/>
      <family val="1"/>
      <charset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" fontId="0" fillId="0" borderId="0" xfId="0" applyNumberFormat="1"/>
    <xf numFmtId="0" fontId="0" fillId="0" borderId="2" xfId="0" applyBorder="1"/>
    <xf numFmtId="2" fontId="0" fillId="0" borderId="2" xfId="0" applyNumberFormat="1" applyBorder="1"/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quotePrefix="1" applyNumberFormat="1"/>
    <xf numFmtId="164" fontId="0" fillId="0" borderId="0" xfId="0" applyNumberFormat="1"/>
    <xf numFmtId="164" fontId="0" fillId="0" borderId="2" xfId="0" applyNumberFormat="1" applyBorder="1"/>
    <xf numFmtId="2" fontId="5" fillId="0" borderId="0" xfId="0" applyNumberFormat="1" applyFont="1"/>
    <xf numFmtId="2" fontId="6" fillId="0" borderId="3" xfId="0" applyNumberFormat="1" applyFont="1" applyBorder="1"/>
    <xf numFmtId="2" fontId="6" fillId="0" borderId="4" xfId="0" applyNumberFormat="1" applyFont="1" applyBorder="1"/>
    <xf numFmtId="2" fontId="6" fillId="0" borderId="5" xfId="0" applyNumberFormat="1" applyFont="1" applyBorder="1"/>
    <xf numFmtId="2" fontId="6" fillId="0" borderId="6" xfId="0" applyNumberFormat="1" applyFont="1" applyBorder="1"/>
    <xf numFmtId="2" fontId="6" fillId="0" borderId="0" xfId="0" applyNumberFormat="1" applyFont="1"/>
    <xf numFmtId="2" fontId="6" fillId="0" borderId="7" xfId="0" applyNumberFormat="1" applyFont="1" applyBorder="1"/>
    <xf numFmtId="2" fontId="6" fillId="0" borderId="8" xfId="0" applyNumberFormat="1" applyFont="1" applyBorder="1"/>
    <xf numFmtId="2" fontId="6" fillId="0" borderId="2" xfId="0" applyNumberFormat="1" applyFont="1" applyBorder="1"/>
    <xf numFmtId="2" fontId="6" fillId="0" borderId="9" xfId="0" applyNumberFormat="1" applyFont="1" applyBorder="1"/>
    <xf numFmtId="0" fontId="6" fillId="0" borderId="9" xfId="0" applyFont="1" applyBorder="1"/>
    <xf numFmtId="0" fontId="6" fillId="0" borderId="0" xfId="0" applyFont="1"/>
    <xf numFmtId="2" fontId="8" fillId="0" borderId="0" xfId="0" applyNumberFormat="1" applyFont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9" fillId="0" borderId="0" xfId="0" applyFont="1"/>
    <xf numFmtId="0" fontId="10" fillId="0" borderId="0" xfId="0" applyFont="1"/>
    <xf numFmtId="165" fontId="12" fillId="0" borderId="0" xfId="0" applyNumberFormat="1" applyFont="1"/>
    <xf numFmtId="165" fontId="0" fillId="0" borderId="0" xfId="0" applyNumberFormat="1"/>
    <xf numFmtId="17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Eigenvalues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Sheet7!$T$2:$T$5</c:f>
              <c:numCache>
                <c:formatCode>0.0000</c:formatCode>
                <c:ptCount val="4"/>
                <c:pt idx="0">
                  <c:v>8.4148141067871141</c:v>
                </c:pt>
                <c:pt idx="1">
                  <c:v>0.67959958156260625</c:v>
                </c:pt>
                <c:pt idx="2">
                  <c:v>8.5424379898125846E-2</c:v>
                </c:pt>
                <c:pt idx="3">
                  <c:v>5.3495265085481303E-2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E-438A-A0F0-AF2F559D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2772608"/>
        <c:axId val="1842770208"/>
      </c:lineChart>
      <c:catAx>
        <c:axId val="18427726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770208"/>
        <c:crosses val="autoZero"/>
        <c:auto val="1"/>
        <c:lblAlgn val="ctr"/>
        <c:lblOffset val="100"/>
        <c:noMultiLvlLbl val="0"/>
      </c:catAx>
      <c:valAx>
        <c:axId val="184277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77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PC1 and PC2 scores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Sheet7!$Y$13</c:f>
              <c:strCache>
                <c:ptCount val="1"/>
                <c:pt idx="0">
                  <c:v>PC2 score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Sheet7!$X$14:$X$19</c:f>
              <c:numCache>
                <c:formatCode>0.00</c:formatCode>
                <c:ptCount val="6"/>
                <c:pt idx="0">
                  <c:v>-3.3002756860988125</c:v>
                </c:pt>
                <c:pt idx="1">
                  <c:v>-2.7079514304069434</c:v>
                </c:pt>
                <c:pt idx="2">
                  <c:v>2.8479768655487012</c:v>
                </c:pt>
                <c:pt idx="3">
                  <c:v>2.6473618476026228</c:v>
                </c:pt>
                <c:pt idx="4">
                  <c:v>-1.8169860170964101</c:v>
                </c:pt>
                <c:pt idx="5">
                  <c:v>2.3298744204508415</c:v>
                </c:pt>
              </c:numCache>
            </c:numRef>
          </c:xVal>
          <c:yVal>
            <c:numRef>
              <c:f>Sheet7!$Y$14:$Y$19</c:f>
              <c:numCache>
                <c:formatCode>0.00</c:formatCode>
                <c:ptCount val="6"/>
                <c:pt idx="0">
                  <c:v>-0.64636705103638437</c:v>
                </c:pt>
                <c:pt idx="1">
                  <c:v>0.88303046907758653</c:v>
                </c:pt>
                <c:pt idx="2">
                  <c:v>0.7692310774185136</c:v>
                </c:pt>
                <c:pt idx="3">
                  <c:v>-1.1950781239349066</c:v>
                </c:pt>
                <c:pt idx="4">
                  <c:v>-0.1905759770822108</c:v>
                </c:pt>
                <c:pt idx="5">
                  <c:v>0.37975960555740307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B4-45E5-AAB0-C3D94AFB2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6493151"/>
        <c:axId val="1320592512"/>
      </c:scatterChart>
      <c:valAx>
        <c:axId val="1156493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592512"/>
        <c:crosses val="autoZero"/>
        <c:crossBetween val="midCat"/>
      </c:valAx>
      <c:valAx>
        <c:axId val="132059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49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PC1 and PC2 scores (Covar)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Sheet7!$Y$13</c:f>
              <c:strCache>
                <c:ptCount val="1"/>
                <c:pt idx="0">
                  <c:v>PC2 score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Sheet7!$X$14:$X$19</c:f>
              <c:numCache>
                <c:formatCode>0.00</c:formatCode>
                <c:ptCount val="6"/>
                <c:pt idx="0">
                  <c:v>-3.3002756860988125</c:v>
                </c:pt>
                <c:pt idx="1">
                  <c:v>-2.7079514304069434</c:v>
                </c:pt>
                <c:pt idx="2">
                  <c:v>2.8479768655487012</c:v>
                </c:pt>
                <c:pt idx="3">
                  <c:v>2.6473618476026228</c:v>
                </c:pt>
                <c:pt idx="4">
                  <c:v>-1.8169860170964101</c:v>
                </c:pt>
                <c:pt idx="5">
                  <c:v>2.3298744204508415</c:v>
                </c:pt>
              </c:numCache>
            </c:numRef>
          </c:xVal>
          <c:yVal>
            <c:numRef>
              <c:f>Sheet7!$Y$14:$Y$19</c:f>
              <c:numCache>
                <c:formatCode>0.00</c:formatCode>
                <c:ptCount val="6"/>
                <c:pt idx="0">
                  <c:v>-0.64636705103638437</c:v>
                </c:pt>
                <c:pt idx="1">
                  <c:v>0.88303046907758653</c:v>
                </c:pt>
                <c:pt idx="2">
                  <c:v>0.7692310774185136</c:v>
                </c:pt>
                <c:pt idx="3">
                  <c:v>-1.1950781239349066</c:v>
                </c:pt>
                <c:pt idx="4">
                  <c:v>-0.1905759770822108</c:v>
                </c:pt>
                <c:pt idx="5">
                  <c:v>0.37975960555740307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76-4C29-8897-B4641693A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6493151"/>
        <c:axId val="1320592512"/>
      </c:scatterChart>
      <c:valAx>
        <c:axId val="1156493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592512"/>
        <c:crosses val="autoZero"/>
        <c:crossBetween val="midCat"/>
      </c:valAx>
      <c:valAx>
        <c:axId val="132059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49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Eigenvalues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Sheet3!$T$2:$T$5</c:f>
              <c:numCache>
                <c:formatCode>0.0000</c:formatCode>
                <c:ptCount val="4"/>
                <c:pt idx="0">
                  <c:v>3.6377623911311927</c:v>
                </c:pt>
                <c:pt idx="1">
                  <c:v>0.29683287478026632</c:v>
                </c:pt>
                <c:pt idx="2">
                  <c:v>4.2889677449110895E-2</c:v>
                </c:pt>
                <c:pt idx="3">
                  <c:v>2.2515056639427853E-2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A-45B4-815C-6B01883FD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2772608"/>
        <c:axId val="1842770208"/>
      </c:lineChart>
      <c:catAx>
        <c:axId val="18427726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770208"/>
        <c:crosses val="autoZero"/>
        <c:auto val="1"/>
        <c:lblAlgn val="ctr"/>
        <c:lblOffset val="100"/>
        <c:noMultiLvlLbl val="0"/>
      </c:catAx>
      <c:valAx>
        <c:axId val="184277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77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PC1 and PC2 score (Correl)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Sheet3!$Y$13</c:f>
              <c:strCache>
                <c:ptCount val="1"/>
                <c:pt idx="0">
                  <c:v>PC2 score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Sheet3!$X$14:$X$19</c:f>
              <c:numCache>
                <c:formatCode>0.00</c:formatCode>
                <c:ptCount val="6"/>
                <c:pt idx="0">
                  <c:v>-2.1494662563547386</c:v>
                </c:pt>
                <c:pt idx="1">
                  <c:v>-1.8557739141337801</c:v>
                </c:pt>
                <c:pt idx="2">
                  <c:v>1.7772784737459633</c:v>
                </c:pt>
                <c:pt idx="3">
                  <c:v>1.8970141216909373</c:v>
                </c:pt>
                <c:pt idx="4">
                  <c:v>-1.1214926938203469</c:v>
                </c:pt>
                <c:pt idx="5">
                  <c:v>1.4524402688719644</c:v>
                </c:pt>
              </c:numCache>
            </c:numRef>
          </c:xVal>
          <c:yVal>
            <c:numRef>
              <c:f>Sheet3!$Y$14:$Y$19</c:f>
              <c:numCache>
                <c:formatCode>0.00</c:formatCode>
                <c:ptCount val="6"/>
                <c:pt idx="0">
                  <c:v>-0.40619352018223537</c:v>
                </c:pt>
                <c:pt idx="1">
                  <c:v>0.54170019493177368</c:v>
                </c:pt>
                <c:pt idx="2">
                  <c:v>0.56638182851679297</c:v>
                </c:pt>
                <c:pt idx="3">
                  <c:v>-0.77446839942045798</c:v>
                </c:pt>
                <c:pt idx="4">
                  <c:v>-0.19010406557655549</c:v>
                </c:pt>
                <c:pt idx="5">
                  <c:v>0.26268396173068281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6A-499C-A2D6-9B32FA85B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0283567"/>
        <c:axId val="1290281647"/>
      </c:scatterChart>
      <c:valAx>
        <c:axId val="1290283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281647"/>
        <c:crosses val="autoZero"/>
        <c:crossBetween val="midCat"/>
      </c:valAx>
      <c:valAx>
        <c:axId val="1290281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283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0</xdr:row>
      <xdr:rowOff>114300</xdr:rowOff>
    </xdr:from>
    <xdr:to>
      <xdr:col>33</xdr:col>
      <xdr:colOff>9525</xdr:colOff>
      <xdr:row>14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137A8F-C02F-483C-CC8D-8FBB1B305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314325</xdr:colOff>
      <xdr:row>15</xdr:row>
      <xdr:rowOff>142875</xdr:rowOff>
    </xdr:from>
    <xdr:to>
      <xdr:col>33</xdr:col>
      <xdr:colOff>85725</xdr:colOff>
      <xdr:row>30</xdr:row>
      <xdr:rowOff>38100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E89D564C-51E7-44A2-FAB9-4507915F5A12}"/>
            </a:ext>
          </a:extLst>
        </xdr:cNvPr>
        <xdr:cNvGrpSpPr/>
      </xdr:nvGrpSpPr>
      <xdr:grpSpPr>
        <a:xfrm>
          <a:off x="16268700" y="3048000"/>
          <a:ext cx="4648200" cy="2752725"/>
          <a:chOff x="16268700" y="3048000"/>
          <a:chExt cx="4648200" cy="2752725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A14C2749-2674-578C-D043-ABC945373525}"/>
              </a:ext>
            </a:extLst>
          </xdr:cNvPr>
          <xdr:cNvGrpSpPr/>
        </xdr:nvGrpSpPr>
        <xdr:grpSpPr>
          <a:xfrm>
            <a:off x="16268700" y="3048000"/>
            <a:ext cx="4572000" cy="2752725"/>
            <a:chOff x="16554450" y="3152775"/>
            <a:chExt cx="4572000" cy="2752725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E43D5E14-702E-736C-ECC4-79C25D7CC0D3}"/>
                </a:ext>
              </a:extLst>
            </xdr:cNvPr>
            <xdr:cNvGraphicFramePr/>
          </xdr:nvGraphicFramePr>
          <xdr:xfrm>
            <a:off x="16554450" y="3152775"/>
            <a:ext cx="4572000" cy="275272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FE1672-88A9-46A6-B46B-1F013E6760BB}"/>
                </a:ext>
              </a:extLst>
            </xdr:cNvPr>
            <xdr:cNvSpPr txBox="1"/>
          </xdr:nvSpPr>
          <xdr:spPr>
            <a:xfrm>
              <a:off x="16992600" y="5038725"/>
              <a:ext cx="352425" cy="2476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P1</a:t>
              </a: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1B74DD83-DB64-4FC9-A4FE-85D63A3FBA4A}"/>
                </a:ext>
              </a:extLst>
            </xdr:cNvPr>
            <xdr:cNvSpPr txBox="1"/>
          </xdr:nvSpPr>
          <xdr:spPr>
            <a:xfrm>
              <a:off x="17297400" y="3733800"/>
              <a:ext cx="352425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P2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F83E687E-3035-417B-BCCE-5019253C32DB}"/>
                </a:ext>
              </a:extLst>
            </xdr:cNvPr>
            <xdr:cNvSpPr txBox="1"/>
          </xdr:nvSpPr>
          <xdr:spPr>
            <a:xfrm>
              <a:off x="20259675" y="3609975"/>
              <a:ext cx="352425" cy="2476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P3</a:t>
              </a:r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19EF1A4D-A570-4B2D-BE52-97847AAF946E}"/>
                </a:ext>
              </a:extLst>
            </xdr:cNvPr>
            <xdr:cNvSpPr txBox="1"/>
          </xdr:nvSpPr>
          <xdr:spPr>
            <a:xfrm>
              <a:off x="20164425" y="5314950"/>
              <a:ext cx="352425" cy="2476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P4</a:t>
              </a:r>
            </a:p>
          </xdr:txBody>
        </xdr:sp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2631AB0A-1CE0-4EAD-B86C-3B059686F5E3}"/>
                </a:ext>
              </a:extLst>
            </xdr:cNvPr>
            <xdr:cNvSpPr txBox="1"/>
          </xdr:nvSpPr>
          <xdr:spPr>
            <a:xfrm>
              <a:off x="17745075" y="4619625"/>
              <a:ext cx="352425" cy="2476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P5</a:t>
              </a:r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B1D15D55-F59A-4E92-A3A5-1FEFDCC49A8F}"/>
                </a:ext>
              </a:extLst>
            </xdr:cNvPr>
            <xdr:cNvSpPr txBox="1"/>
          </xdr:nvSpPr>
          <xdr:spPr>
            <a:xfrm>
              <a:off x="19859625" y="4152900"/>
              <a:ext cx="352425" cy="2476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P6</a:t>
              </a:r>
            </a:p>
          </xdr:txBody>
        </xdr:sp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226C95B-DB96-96A2-97FD-8B1D66574E32}"/>
              </a:ext>
            </a:extLst>
          </xdr:cNvPr>
          <xdr:cNvSpPr txBox="1"/>
        </xdr:nvSpPr>
        <xdr:spPr>
          <a:xfrm>
            <a:off x="20459700" y="4200525"/>
            <a:ext cx="457200" cy="2667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/>
              <a:t>PC1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37B1290-9FD8-4DE7-9CC1-952AD6ECC94F}"/>
              </a:ext>
            </a:extLst>
          </xdr:cNvPr>
          <xdr:cNvSpPr txBox="1"/>
        </xdr:nvSpPr>
        <xdr:spPr>
          <a:xfrm>
            <a:off x="18507075" y="3333750"/>
            <a:ext cx="457200" cy="2667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/>
              <a:t>PC2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295275</xdr:colOff>
      <xdr:row>30</xdr:row>
      <xdr:rowOff>95250</xdr:rowOff>
    </xdr:from>
    <xdr:to>
      <xdr:col>32</xdr:col>
      <xdr:colOff>600075</xdr:colOff>
      <xdr:row>44</xdr:row>
      <xdr:rowOff>180975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3E5C9884-AC39-0427-B0F9-EC9DA88D079D}"/>
            </a:ext>
          </a:extLst>
        </xdr:cNvPr>
        <xdr:cNvGrpSpPr/>
      </xdr:nvGrpSpPr>
      <xdr:grpSpPr>
        <a:xfrm>
          <a:off x="16268700" y="5857875"/>
          <a:ext cx="4572000" cy="2752725"/>
          <a:chOff x="16430625" y="5429250"/>
          <a:chExt cx="4572000" cy="2752725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96CE2CBD-9671-5991-F1CE-51418202FC22}"/>
              </a:ext>
            </a:extLst>
          </xdr:cNvPr>
          <xdr:cNvGraphicFramePr/>
        </xdr:nvGraphicFramePr>
        <xdr:xfrm>
          <a:off x="16430625" y="5429250"/>
          <a:ext cx="4572000" cy="2752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148B62D-FC93-55E0-01AE-FF15AD1DE29F}"/>
              </a:ext>
            </a:extLst>
          </xdr:cNvPr>
          <xdr:cNvSpPr txBox="1"/>
        </xdr:nvSpPr>
        <xdr:spPr>
          <a:xfrm>
            <a:off x="16878300" y="7419975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P1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E663800E-BD9B-5D2A-0709-87BD5984194B}"/>
              </a:ext>
            </a:extLst>
          </xdr:cNvPr>
          <xdr:cNvSpPr txBox="1"/>
        </xdr:nvSpPr>
        <xdr:spPr>
          <a:xfrm>
            <a:off x="17154525" y="6334125"/>
            <a:ext cx="3524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P2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3C53C774-7D3B-34B3-6111-DA8EB46E0C82}"/>
              </a:ext>
            </a:extLst>
          </xdr:cNvPr>
          <xdr:cNvSpPr txBox="1"/>
        </xdr:nvSpPr>
        <xdr:spPr>
          <a:xfrm>
            <a:off x="20012025" y="6038850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P3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62D7D84C-E705-C0E2-51BB-03082983DD33}"/>
              </a:ext>
            </a:extLst>
          </xdr:cNvPr>
          <xdr:cNvSpPr txBox="1"/>
        </xdr:nvSpPr>
        <xdr:spPr>
          <a:xfrm>
            <a:off x="20012025" y="7429500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P4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E7383E1C-9F19-037B-09F4-7121CE8E78D4}"/>
              </a:ext>
            </a:extLst>
          </xdr:cNvPr>
          <xdr:cNvSpPr txBox="1"/>
        </xdr:nvSpPr>
        <xdr:spPr>
          <a:xfrm>
            <a:off x="17630775" y="7105650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P5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49271710-613D-ACC4-3A9C-BF1CC3D8A0E1}"/>
              </a:ext>
            </a:extLst>
          </xdr:cNvPr>
          <xdr:cNvSpPr txBox="1"/>
        </xdr:nvSpPr>
        <xdr:spPr>
          <a:xfrm>
            <a:off x="19383375" y="6753225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P6</a:t>
            </a:r>
          </a:p>
        </xdr:txBody>
      </xdr:sp>
    </xdr:grpSp>
    <xdr:clientData/>
  </xdr:twoCellAnchor>
  <xdr:twoCellAnchor>
    <xdr:from>
      <xdr:col>25</xdr:col>
      <xdr:colOff>314325</xdr:colOff>
      <xdr:row>0</xdr:row>
      <xdr:rowOff>114300</xdr:rowOff>
    </xdr:from>
    <xdr:to>
      <xdr:col>33</xdr:col>
      <xdr:colOff>9525</xdr:colOff>
      <xdr:row>14</xdr:row>
      <xdr:rowOff>152400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5035478-3904-4B72-8543-B87286D9B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285750</xdr:colOff>
      <xdr:row>15</xdr:row>
      <xdr:rowOff>47625</xdr:rowOff>
    </xdr:from>
    <xdr:to>
      <xdr:col>32</xdr:col>
      <xdr:colOff>590550</xdr:colOff>
      <xdr:row>29</xdr:row>
      <xdr:rowOff>123825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D37B4A01-A251-0C1F-C10E-52E98A8FE7D5}"/>
            </a:ext>
          </a:extLst>
        </xdr:cNvPr>
        <xdr:cNvGrpSpPr/>
      </xdr:nvGrpSpPr>
      <xdr:grpSpPr>
        <a:xfrm>
          <a:off x="16259175" y="2952750"/>
          <a:ext cx="4572000" cy="2743200"/>
          <a:chOff x="11344275" y="3952875"/>
          <a:chExt cx="4572000" cy="2743200"/>
        </a:xfrm>
      </xdr:grpSpPr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DD67F8D3-7DC5-B5EB-15C0-DDE1A2F25105}"/>
              </a:ext>
            </a:extLst>
          </xdr:cNvPr>
          <xdr:cNvGraphicFramePr/>
        </xdr:nvGraphicFramePr>
        <xdr:xfrm>
          <a:off x="11344275" y="3952875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B567BEE0-0B53-40EF-8B46-55C1845EE5E0}"/>
              </a:ext>
            </a:extLst>
          </xdr:cNvPr>
          <xdr:cNvSpPr txBox="1"/>
        </xdr:nvSpPr>
        <xdr:spPr>
          <a:xfrm>
            <a:off x="11734800" y="5876925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P1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EC195EC-BDE4-4D93-9855-3263B106A3ED}"/>
              </a:ext>
            </a:extLst>
          </xdr:cNvPr>
          <xdr:cNvSpPr txBox="1"/>
        </xdr:nvSpPr>
        <xdr:spPr>
          <a:xfrm>
            <a:off x="11963400" y="4743450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P2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43ADD4CE-7EB5-4336-9741-54053FA67BD0}"/>
              </a:ext>
            </a:extLst>
          </xdr:cNvPr>
          <xdr:cNvSpPr txBox="1"/>
        </xdr:nvSpPr>
        <xdr:spPr>
          <a:xfrm>
            <a:off x="15078075" y="4600575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P3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BF56B9C0-0DA7-46C9-AC3D-837CFDB14FFC}"/>
              </a:ext>
            </a:extLst>
          </xdr:cNvPr>
          <xdr:cNvSpPr txBox="1"/>
        </xdr:nvSpPr>
        <xdr:spPr>
          <a:xfrm>
            <a:off x="15182850" y="6229350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P4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D92521F0-1187-406A-8186-173E73C647DC}"/>
              </a:ext>
            </a:extLst>
          </xdr:cNvPr>
          <xdr:cNvSpPr txBox="1"/>
        </xdr:nvSpPr>
        <xdr:spPr>
          <a:xfrm>
            <a:off x="12620625" y="5619750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P5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5EAC703-CAA0-4E72-9A14-F87E0B0F988A}"/>
              </a:ext>
            </a:extLst>
          </xdr:cNvPr>
          <xdr:cNvSpPr txBox="1"/>
        </xdr:nvSpPr>
        <xdr:spPr>
          <a:xfrm>
            <a:off x="14839950" y="4981575"/>
            <a:ext cx="3524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P6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ank\AppData\Roaming\Microsoft\AddIns\XRealStats.xlam" TargetMode="External"/><Relationship Id="rId1" Type="http://schemas.openxmlformats.org/officeDocument/2006/relationships/externalLinkPath" Target="file:///C:\Users\brank\AppData\Roaming\Microsoft\AddIn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CORR"/>
      <definedName name="eigVALSym"/>
      <definedName name="eigVECTSy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2A2A-CA14-473C-AFA6-C5FCFF4969C1}">
  <dimension ref="A1:AN28"/>
  <sheetViews>
    <sheetView tabSelected="1" workbookViewId="0">
      <selection activeCell="I1" sqref="I1"/>
    </sheetView>
  </sheetViews>
  <sheetFormatPr defaultRowHeight="15" x14ac:dyDescent="0.25"/>
  <sheetData>
    <row r="1" spans="1:40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  <c r="F1" s="7" t="s">
        <v>9</v>
      </c>
      <c r="G1" s="2">
        <v>6</v>
      </c>
      <c r="H1" t="s">
        <v>10</v>
      </c>
    </row>
    <row r="2" spans="1:40" x14ac:dyDescent="0.25">
      <c r="A2" t="s">
        <v>11</v>
      </c>
      <c r="B2">
        <v>5</v>
      </c>
      <c r="C2">
        <v>4</v>
      </c>
      <c r="D2">
        <v>2</v>
      </c>
      <c r="E2">
        <v>1</v>
      </c>
      <c r="F2" s="7" t="s">
        <v>12</v>
      </c>
      <c r="G2" s="2">
        <v>4</v>
      </c>
      <c r="H2" t="s">
        <v>13</v>
      </c>
      <c r="O2" s="1"/>
      <c r="P2" s="1"/>
      <c r="Q2" s="1"/>
      <c r="R2" s="1"/>
      <c r="AC2" t="s">
        <v>57</v>
      </c>
      <c r="AJ2" t="s">
        <v>31</v>
      </c>
    </row>
    <row r="3" spans="1:40" ht="15.75" thickBot="1" x14ac:dyDescent="0.3">
      <c r="A3" t="s">
        <v>14</v>
      </c>
      <c r="B3">
        <v>4</v>
      </c>
      <c r="C3">
        <v>5</v>
      </c>
      <c r="D3">
        <v>2</v>
      </c>
      <c r="E3">
        <v>2</v>
      </c>
      <c r="F3" s="7" t="s">
        <v>15</v>
      </c>
      <c r="G3" s="2">
        <f>G1*G2</f>
        <v>24</v>
      </c>
      <c r="O3" s="1"/>
      <c r="P3" s="1"/>
      <c r="Q3" s="1"/>
      <c r="R3" s="1"/>
      <c r="AC3" s="12" cm="1">
        <f t="array" ref="AC3:AF9">[1]!eigVECTSym(R11:U14)</f>
        <v>6.6284432173566668</v>
      </c>
      <c r="AD3" s="12">
        <v>0.53404021554858616</v>
      </c>
      <c r="AE3" s="12">
        <v>5.9738789316969937E-2</v>
      </c>
      <c r="AF3" s="12">
        <v>3.0039521241347811E-16</v>
      </c>
      <c r="AG3" t="s">
        <v>31</v>
      </c>
      <c r="AJ3" s="12" cm="1">
        <f t="array" ref="AJ3:AM4">[1]!eigVALSym(R11:U14)</f>
        <v>6.6284432173566668</v>
      </c>
      <c r="AK3" s="12">
        <v>0.53404021554858616</v>
      </c>
      <c r="AL3" s="12">
        <v>5.9738789316969937E-2</v>
      </c>
      <c r="AM3" s="12">
        <v>3.0039521241347811E-16</v>
      </c>
    </row>
    <row r="4" spans="1:40" x14ac:dyDescent="0.25">
      <c r="A4" t="s">
        <v>16</v>
      </c>
      <c r="B4">
        <v>1</v>
      </c>
      <c r="C4">
        <v>2</v>
      </c>
      <c r="D4">
        <v>4</v>
      </c>
      <c r="E4">
        <v>5</v>
      </c>
      <c r="O4" s="1"/>
      <c r="P4" s="1"/>
      <c r="Q4" s="1"/>
      <c r="R4" s="1"/>
      <c r="AC4" s="13">
        <v>-0.53331504351779113</v>
      </c>
      <c r="AD4" s="14">
        <v>-0.46334538034277073</v>
      </c>
      <c r="AE4" s="14">
        <v>-2.9767816054082186E-2</v>
      </c>
      <c r="AF4" s="15">
        <v>-0.70710678118654724</v>
      </c>
      <c r="AJ4" s="1">
        <v>2.3461639614821112E-13</v>
      </c>
      <c r="AK4" s="1">
        <v>5.0144006927571447E-16</v>
      </c>
      <c r="AL4" s="1">
        <v>1.6327378024316144E-17</v>
      </c>
      <c r="AM4" s="1">
        <v>-4.6955032454813065E-17</v>
      </c>
    </row>
    <row r="5" spans="1:40" x14ac:dyDescent="0.25">
      <c r="A5" t="s">
        <v>17</v>
      </c>
      <c r="B5">
        <v>2</v>
      </c>
      <c r="C5">
        <v>1</v>
      </c>
      <c r="D5">
        <v>5</v>
      </c>
      <c r="E5">
        <v>4</v>
      </c>
      <c r="G5" s="8"/>
      <c r="O5" s="1"/>
      <c r="P5" s="1"/>
      <c r="Q5" s="1"/>
      <c r="R5" s="1"/>
      <c r="AC5" s="16">
        <v>-0.51632174035833955</v>
      </c>
      <c r="AD5" s="17">
        <v>0.63145790627804987</v>
      </c>
      <c r="AE5" s="17">
        <v>-0.5785090950298678</v>
      </c>
      <c r="AF5" s="18">
        <v>1.5347835278138514E-16</v>
      </c>
      <c r="AJ5" t="str">
        <f ca="1">_xlfn.FORMULATEXT(AJ3)</f>
        <v>=eigVALSym(R11:U14)</v>
      </c>
    </row>
    <row r="6" spans="1:40" x14ac:dyDescent="0.25">
      <c r="A6" t="s">
        <v>18</v>
      </c>
      <c r="B6">
        <v>4</v>
      </c>
      <c r="C6">
        <v>4</v>
      </c>
      <c r="D6">
        <v>3</v>
      </c>
      <c r="E6">
        <v>2</v>
      </c>
      <c r="AC6" s="16">
        <v>0.40566240785728275</v>
      </c>
      <c r="AD6" s="17">
        <v>-0.41458778277822894</v>
      </c>
      <c r="AE6" s="17">
        <v>-0.81458884182295566</v>
      </c>
      <c r="AF6" s="18">
        <v>6.4179756681254395E-16</v>
      </c>
    </row>
    <row r="7" spans="1:40" ht="15.75" thickBot="1" x14ac:dyDescent="0.3">
      <c r="A7" t="s">
        <v>19</v>
      </c>
      <c r="B7">
        <v>2</v>
      </c>
      <c r="C7">
        <v>2</v>
      </c>
      <c r="D7">
        <v>4</v>
      </c>
      <c r="E7">
        <v>4</v>
      </c>
      <c r="AC7" s="19">
        <v>0.53331504351779135</v>
      </c>
      <c r="AD7" s="20">
        <v>0.46334538034277067</v>
      </c>
      <c r="AE7" s="20">
        <v>2.9767816054084441E-2</v>
      </c>
      <c r="AF7" s="21">
        <v>-0.70710678118654768</v>
      </c>
    </row>
    <row r="8" spans="1:40" x14ac:dyDescent="0.25">
      <c r="A8" t="s">
        <v>20</v>
      </c>
      <c r="B8" s="1">
        <f>AVERAGE(B2:B7)</f>
        <v>3</v>
      </c>
      <c r="C8" s="1">
        <f t="shared" ref="C8:E8" si="0">AVERAGE(C2:C7)</f>
        <v>3</v>
      </c>
      <c r="D8" s="1">
        <f t="shared" si="0"/>
        <v>3.3333333333333335</v>
      </c>
      <c r="E8" s="1">
        <f t="shared" si="0"/>
        <v>3</v>
      </c>
      <c r="AC8" s="1">
        <v>2.3461639614821112E-13</v>
      </c>
      <c r="AD8" s="1">
        <v>5.0144006927571447E-16</v>
      </c>
      <c r="AE8" s="1">
        <v>1.6327378024316144E-17</v>
      </c>
      <c r="AF8" s="1">
        <v>-4.6955032454813065E-17</v>
      </c>
    </row>
    <row r="9" spans="1:40" ht="15.75" thickBot="1" x14ac:dyDescent="0.3">
      <c r="Q9" t="s">
        <v>56</v>
      </c>
      <c r="AC9" s="1">
        <v>1.3322676295501878E-15</v>
      </c>
      <c r="AD9" s="1">
        <v>4.4408920985006262E-16</v>
      </c>
      <c r="AE9" s="1">
        <v>3.6082248300317588E-16</v>
      </c>
      <c r="AF9" s="1">
        <v>4.4408920985006262E-16</v>
      </c>
    </row>
    <row r="10" spans="1:40" ht="18" x14ac:dyDescent="0.35">
      <c r="A10" t="s">
        <v>25</v>
      </c>
      <c r="G10" t="s">
        <v>21</v>
      </c>
      <c r="L10" t="s">
        <v>22</v>
      </c>
      <c r="M10" t="s">
        <v>23</v>
      </c>
      <c r="Q10" s="3"/>
      <c r="R10" s="3" t="s">
        <v>0</v>
      </c>
      <c r="S10" s="3" t="s">
        <v>1</v>
      </c>
      <c r="T10" s="3" t="s">
        <v>2</v>
      </c>
      <c r="U10" s="3" t="s">
        <v>3</v>
      </c>
      <c r="AC10" t="str">
        <f ca="1">_xlfn.FORMULATEXT(AC3)</f>
        <v>=eigVECTSym(R11:U14)</v>
      </c>
    </row>
    <row r="11" spans="1:40" x14ac:dyDescent="0.25">
      <c r="B11" s="1">
        <f>B2-B$8</f>
        <v>2</v>
      </c>
      <c r="C11" s="1">
        <f t="shared" ref="C11:E11" si="1">C2-C$8</f>
        <v>1</v>
      </c>
      <c r="D11" s="1">
        <f t="shared" si="1"/>
        <v>-1.3333333333333335</v>
      </c>
      <c r="E11" s="1">
        <f t="shared" si="1"/>
        <v>-2</v>
      </c>
      <c r="G11" s="1" cm="1">
        <f t="array" ref="G11:J14">MMULT(TRANSPOSE(B11:E16),B11:E16)</f>
        <v>12</v>
      </c>
      <c r="H11" s="1">
        <v>10</v>
      </c>
      <c r="I11" s="1">
        <v>-8</v>
      </c>
      <c r="J11" s="1">
        <v>-12</v>
      </c>
      <c r="L11" s="1" cm="1">
        <f t="array" ref="L11:O14">1/6*G11:J14</f>
        <v>2</v>
      </c>
      <c r="M11" s="1">
        <v>1.6666666666666665</v>
      </c>
      <c r="N11" s="1">
        <v>-1.3333333333333333</v>
      </c>
      <c r="O11" s="1">
        <v>-2</v>
      </c>
      <c r="Q11" t="s">
        <v>0</v>
      </c>
      <c r="R11" s="1">
        <f>VARP($B$11:$B$16)</f>
        <v>2</v>
      </c>
      <c r="S11" s="1">
        <f>R12</f>
        <v>1.67</v>
      </c>
      <c r="T11" s="1">
        <f>R13</f>
        <v>-1.33</v>
      </c>
      <c r="U11" s="1">
        <f>R14</f>
        <v>-2</v>
      </c>
      <c r="W11" s="1">
        <f>_xlfn.VAR.P($B$11:$B$16,B11:B16)</f>
        <v>2</v>
      </c>
      <c r="X11" s="1" t="str">
        <f ca="1">_xlfn.FORMULATEXT(W11)</f>
        <v>=VAR.P($B$11:$B$16,B11:B16)</v>
      </c>
      <c r="Y11" s="1"/>
      <c r="Z11" s="1"/>
    </row>
    <row r="12" spans="1:40" ht="17.25" thickBot="1" x14ac:dyDescent="0.3">
      <c r="B12" s="1">
        <f t="shared" ref="B12:E16" si="2">B3-B$8</f>
        <v>1</v>
      </c>
      <c r="C12" s="1">
        <f t="shared" si="2"/>
        <v>2</v>
      </c>
      <c r="D12" s="1">
        <f t="shared" si="2"/>
        <v>-1.3333333333333335</v>
      </c>
      <c r="E12" s="1">
        <f t="shared" si="2"/>
        <v>-1</v>
      </c>
      <c r="G12" s="1">
        <v>10</v>
      </c>
      <c r="H12" s="1">
        <v>12</v>
      </c>
      <c r="I12" s="1">
        <v>-8.9999999999999982</v>
      </c>
      <c r="J12" s="1">
        <v>-10</v>
      </c>
      <c r="L12" s="1">
        <v>1.6666666666666665</v>
      </c>
      <c r="M12" s="1">
        <v>2</v>
      </c>
      <c r="N12" s="1">
        <v>-1.4999999999999996</v>
      </c>
      <c r="O12" s="1">
        <v>-1.6666666666666665</v>
      </c>
      <c r="Q12" t="s">
        <v>1</v>
      </c>
      <c r="R12" s="1">
        <v>1.67</v>
      </c>
      <c r="S12" s="1">
        <f>VARP($C$11:$C$16)</f>
        <v>2</v>
      </c>
      <c r="T12" s="1">
        <f>S13</f>
        <v>-1.5</v>
      </c>
      <c r="U12" s="1">
        <f>S14</f>
        <v>-1.67</v>
      </c>
      <c r="W12" s="1">
        <f>_xlfn.COVARIANCE.P($B$11:$B$16,C11:C16)</f>
        <v>1.6666666666666667</v>
      </c>
      <c r="X12" s="1">
        <f>_xlfn.VAR.P($C$11:$C$16,C11:C16)</f>
        <v>2</v>
      </c>
      <c r="Y12" s="1"/>
      <c r="Z12" s="1"/>
      <c r="AC12" s="32" t="s">
        <v>58</v>
      </c>
      <c r="AD12" t="s">
        <v>27</v>
      </c>
      <c r="AK12" t="s">
        <v>30</v>
      </c>
    </row>
    <row r="13" spans="1:40" x14ac:dyDescent="0.25">
      <c r="B13" s="1">
        <f t="shared" si="2"/>
        <v>-2</v>
      </c>
      <c r="C13" s="1">
        <f t="shared" si="2"/>
        <v>-1</v>
      </c>
      <c r="D13" s="1">
        <f t="shared" si="2"/>
        <v>0.66666666666666652</v>
      </c>
      <c r="E13" s="1">
        <f t="shared" si="2"/>
        <v>2</v>
      </c>
      <c r="G13" s="1">
        <v>-8</v>
      </c>
      <c r="H13" s="1">
        <v>-8.9999999999999982</v>
      </c>
      <c r="I13" s="1">
        <v>7.3333333333333348</v>
      </c>
      <c r="J13" s="1">
        <v>8</v>
      </c>
      <c r="L13" s="1">
        <v>-1.3333333333333333</v>
      </c>
      <c r="M13" s="1">
        <v>-1.4999999999999996</v>
      </c>
      <c r="N13" s="1">
        <v>1.2222222222222223</v>
      </c>
      <c r="O13" s="1">
        <v>1.3333333333333333</v>
      </c>
      <c r="Q13" t="s">
        <v>2</v>
      </c>
      <c r="R13" s="1">
        <v>-1.33</v>
      </c>
      <c r="S13" s="1">
        <v>-1.5</v>
      </c>
      <c r="T13" s="1">
        <f>VARP($D$11:$D$16)</f>
        <v>1.2222222222222223</v>
      </c>
      <c r="U13" s="1">
        <f>T14</f>
        <v>1.33</v>
      </c>
      <c r="W13" s="1">
        <f>_xlfn.COVARIANCE.P($B$11:$B$16,D11:D16)</f>
        <v>-1.3333333333333333</v>
      </c>
      <c r="X13" s="1">
        <f>_xlfn.COVARIANCE.P($C$11:$C$16,D11:D16)</f>
        <v>-1.5</v>
      </c>
      <c r="Y13" s="1">
        <f>_xlfn.VAR.P($D$11:$D$16,D11:D16)</f>
        <v>1.2222222222222223</v>
      </c>
      <c r="Z13" s="1"/>
      <c r="AC13" s="12" cm="1">
        <f t="array" ref="AC13:AI16">TRANSPOSE(AC3:AF9)</f>
        <v>6.6284432173566668</v>
      </c>
      <c r="AD13" s="13">
        <v>-0.53331504351779113</v>
      </c>
      <c r="AE13" s="14">
        <v>-0.51632174035833955</v>
      </c>
      <c r="AF13" s="14">
        <v>0.40566240785728275</v>
      </c>
      <c r="AG13" s="15">
        <v>0.53331504351779135</v>
      </c>
      <c r="AH13" s="1">
        <v>2.3461639614821112E-13</v>
      </c>
      <c r="AI13" s="1">
        <v>1.3322676295501878E-15</v>
      </c>
      <c r="AJ13" s="1"/>
      <c r="AK13" s="1" cm="1">
        <f t="array" ref="AK13:AN16">MINVERSE(AC4:AF7)</f>
        <v>-0.53331504351779113</v>
      </c>
      <c r="AL13" s="1">
        <v>-0.51632174035833955</v>
      </c>
      <c r="AM13" s="1">
        <v>0.4056624078572828</v>
      </c>
      <c r="AN13" s="1">
        <v>0.53331504351779091</v>
      </c>
    </row>
    <row r="14" spans="1:40" ht="15.75" thickBot="1" x14ac:dyDescent="0.3">
      <c r="B14" s="1">
        <f t="shared" si="2"/>
        <v>-1</v>
      </c>
      <c r="C14" s="1">
        <f t="shared" si="2"/>
        <v>-2</v>
      </c>
      <c r="D14" s="1">
        <f t="shared" si="2"/>
        <v>1.6666666666666665</v>
      </c>
      <c r="E14" s="1">
        <f t="shared" si="2"/>
        <v>1</v>
      </c>
      <c r="G14" s="1">
        <v>-12</v>
      </c>
      <c r="H14" s="1">
        <v>-10</v>
      </c>
      <c r="I14" s="1">
        <v>8</v>
      </c>
      <c r="J14" s="1">
        <v>12</v>
      </c>
      <c r="L14" s="1">
        <v>-2</v>
      </c>
      <c r="M14" s="1">
        <v>-1.6666666666666665</v>
      </c>
      <c r="N14" s="1">
        <v>1.3333333333333333</v>
      </c>
      <c r="O14" s="1">
        <v>2</v>
      </c>
      <c r="Q14" s="5" t="s">
        <v>3</v>
      </c>
      <c r="R14" s="6">
        <v>-2</v>
      </c>
      <c r="S14" s="6">
        <v>-1.67</v>
      </c>
      <c r="T14" s="6">
        <v>1.33</v>
      </c>
      <c r="U14" s="6">
        <f>VARP($E$11:$E$16)</f>
        <v>2</v>
      </c>
      <c r="W14" s="1">
        <f>_xlfn.COVARIANCE.P($B$11:$B$16,E11:E16)</f>
        <v>-2</v>
      </c>
      <c r="X14" s="1">
        <f>_xlfn.COVARIANCE.P($C$11:$C$16,C13:C18)</f>
        <v>-0.67999999999999994</v>
      </c>
      <c r="Y14" s="1">
        <f>_xlfn.COVARIANCE.P($D$11:$D$16,E11:E16)</f>
        <v>1.3333333333333333</v>
      </c>
      <c r="Z14" s="1">
        <f>_xlfn.VAR.P(E11:E16,E11:E16)</f>
        <v>2</v>
      </c>
      <c r="AC14" s="12">
        <v>0.53404021554858616</v>
      </c>
      <c r="AD14" s="16">
        <v>-0.46334538034277073</v>
      </c>
      <c r="AE14" s="17">
        <v>0.63145790627804987</v>
      </c>
      <c r="AF14" s="17">
        <v>-0.41458778277822894</v>
      </c>
      <c r="AG14" s="18">
        <v>0.46334538034277067</v>
      </c>
      <c r="AH14" s="1">
        <v>5.0144006927571447E-16</v>
      </c>
      <c r="AI14" s="1">
        <v>4.4408920985006262E-16</v>
      </c>
      <c r="AJ14" s="1"/>
      <c r="AK14" s="1">
        <v>-0.46334538034277079</v>
      </c>
      <c r="AL14" s="1">
        <v>0.63145790627805032</v>
      </c>
      <c r="AM14" s="1">
        <v>-0.41458778277822844</v>
      </c>
      <c r="AN14" s="1">
        <v>0.46334538034277029</v>
      </c>
    </row>
    <row r="15" spans="1:40" x14ac:dyDescent="0.25">
      <c r="B15" s="1">
        <f t="shared" si="2"/>
        <v>1</v>
      </c>
      <c r="C15" s="1">
        <f t="shared" si="2"/>
        <v>1</v>
      </c>
      <c r="D15" s="1">
        <f t="shared" si="2"/>
        <v>-0.33333333333333348</v>
      </c>
      <c r="E15" s="1">
        <f t="shared" si="2"/>
        <v>-1</v>
      </c>
      <c r="G15" t="str">
        <f ca="1">_xlfn.FORMULATEXT(G11)</f>
        <v>=MMULT(TRANSPOSE(B11:E16),B11:E16)</v>
      </c>
      <c r="L15" s="1" t="str">
        <f ca="1">_xlfn.FORMULATEXT(L11)</f>
        <v>=1/6*G11:J14</v>
      </c>
      <c r="M15" s="1"/>
      <c r="N15" s="1"/>
      <c r="O15" s="1"/>
      <c r="W15" t="str">
        <f ca="1">_xlfn.FORMULATEXT(W14)</f>
        <v>=COVARIANCE.P($B$11:$B$16,E11:E16)</v>
      </c>
      <c r="AC15" s="12">
        <v>5.9738789316969937E-2</v>
      </c>
      <c r="AD15" s="16">
        <v>-2.9767816054082186E-2</v>
      </c>
      <c r="AE15" s="17">
        <v>-0.5785090950298678</v>
      </c>
      <c r="AF15" s="17">
        <v>-0.81458884182295566</v>
      </c>
      <c r="AG15" s="18">
        <v>2.9767816054084441E-2</v>
      </c>
      <c r="AH15" s="1">
        <v>1.6327378024316144E-17</v>
      </c>
      <c r="AI15" s="1">
        <v>3.6082248300317588E-16</v>
      </c>
      <c r="AJ15" s="1"/>
      <c r="AK15" s="1">
        <v>-2.9767816054083403E-2</v>
      </c>
      <c r="AL15" s="1">
        <v>-0.57850909502986803</v>
      </c>
      <c r="AM15" s="1">
        <v>-0.8145888418229551</v>
      </c>
      <c r="AN15" s="1">
        <v>2.9767816054082505E-2</v>
      </c>
    </row>
    <row r="16" spans="1:40" ht="15.75" thickBot="1" x14ac:dyDescent="0.3">
      <c r="B16" s="1">
        <f t="shared" si="2"/>
        <v>-1</v>
      </c>
      <c r="C16" s="1">
        <f t="shared" si="2"/>
        <v>-1</v>
      </c>
      <c r="D16" s="1">
        <f t="shared" si="2"/>
        <v>0.66666666666666652</v>
      </c>
      <c r="E16" s="1">
        <f t="shared" si="2"/>
        <v>1</v>
      </c>
      <c r="L16" s="1"/>
      <c r="M16" s="1"/>
      <c r="N16" s="1"/>
      <c r="O16" s="1"/>
      <c r="AC16" s="12">
        <v>3.0039521241347811E-16</v>
      </c>
      <c r="AD16" s="19">
        <v>-0.70710678118654724</v>
      </c>
      <c r="AE16" s="20">
        <v>1.5347835278138514E-16</v>
      </c>
      <c r="AF16" s="20">
        <v>6.4179756681254395E-16</v>
      </c>
      <c r="AG16" s="22">
        <v>-0.70710678118654768</v>
      </c>
      <c r="AH16" s="1">
        <v>-4.6955032454813065E-17</v>
      </c>
      <c r="AI16" s="1">
        <v>4.4408920985006262E-16</v>
      </c>
      <c r="AJ16" s="1"/>
      <c r="AK16" s="1">
        <v>-0.70710678118654768</v>
      </c>
      <c r="AL16" s="1">
        <v>-1.0407591116585453E-15</v>
      </c>
      <c r="AM16" s="1">
        <v>-1.2096025891751776E-15</v>
      </c>
      <c r="AN16" s="1">
        <v>-0.70710678118654746</v>
      </c>
    </row>
    <row r="17" spans="1:40" x14ac:dyDescent="0.25">
      <c r="A17" t="s">
        <v>20</v>
      </c>
      <c r="B17" s="1">
        <f>AVERAGE(B11:B16)</f>
        <v>0</v>
      </c>
      <c r="C17" s="1">
        <f t="shared" ref="C17:E17" si="3">AVERAGE(C11:C16)</f>
        <v>0</v>
      </c>
      <c r="D17" s="1">
        <f t="shared" si="3"/>
        <v>-1.4802973661668753E-16</v>
      </c>
      <c r="E17" s="1">
        <f t="shared" si="3"/>
        <v>0</v>
      </c>
      <c r="L17" s="1" t="s">
        <v>55</v>
      </c>
      <c r="M17" s="1"/>
      <c r="N17" s="1"/>
      <c r="O17" s="1"/>
      <c r="AC17" s="24" t="str">
        <f ca="1">_xlfn.FORMULATEXT(AC13)</f>
        <v>=TRANSPOSE(AC3:AF9)</v>
      </c>
      <c r="AD17" s="17"/>
      <c r="AE17" s="17"/>
      <c r="AF17" s="17"/>
      <c r="AG17" s="23"/>
      <c r="AH17" s="1"/>
      <c r="AI17" s="1"/>
      <c r="AJ17" s="1"/>
      <c r="AK17" s="1" t="str">
        <f ca="1">_xlfn.FORMULATEXT(AK13)</f>
        <v>=MINVERSE(AC4:AF7)</v>
      </c>
      <c r="AL17" s="1"/>
      <c r="AM17" s="1"/>
      <c r="AN17" s="1"/>
    </row>
    <row r="18" spans="1:40" x14ac:dyDescent="0.25">
      <c r="L18" s="9" cm="1">
        <f t="array" ref="L18:O21">1/6*(MMULT(TRANSPOSE(B11:E16),B11:E16))</f>
        <v>2</v>
      </c>
      <c r="M18" s="1">
        <v>1.6666666666666665</v>
      </c>
      <c r="N18" s="1">
        <v>-1.3333333333333333</v>
      </c>
      <c r="O18" s="1">
        <v>-2</v>
      </c>
      <c r="P18" s="1"/>
      <c r="Q18" s="1"/>
      <c r="R18" s="1"/>
      <c r="U18" s="1"/>
      <c r="V18" s="1"/>
      <c r="W18" s="1"/>
      <c r="X18" s="1"/>
      <c r="AC18" s="1"/>
      <c r="AD18" s="1"/>
      <c r="AE18" s="1"/>
      <c r="AF18" s="1"/>
      <c r="AH18" s="1"/>
      <c r="AI18" s="1"/>
      <c r="AJ18" s="1"/>
    </row>
    <row r="19" spans="1:40" ht="16.5" x14ac:dyDescent="0.25">
      <c r="L19" s="1">
        <v>1.6666666666666665</v>
      </c>
      <c r="M19" s="1">
        <v>2</v>
      </c>
      <c r="N19" s="1">
        <v>-1.4999999999999996</v>
      </c>
      <c r="O19" s="1">
        <v>-1.6666666666666665</v>
      </c>
      <c r="P19" s="1"/>
      <c r="Q19" s="1"/>
      <c r="R19" s="1"/>
      <c r="U19" s="1"/>
      <c r="V19" s="1"/>
      <c r="W19" s="1"/>
      <c r="X19" s="1"/>
      <c r="AC19" t="s">
        <v>28</v>
      </c>
      <c r="AH19" t="s">
        <v>29</v>
      </c>
    </row>
    <row r="20" spans="1:40" x14ac:dyDescent="0.25">
      <c r="B20" s="1"/>
      <c r="C20" s="1"/>
      <c r="D20" s="1"/>
      <c r="E20" s="1"/>
      <c r="J20" s="1"/>
      <c r="K20" s="1"/>
      <c r="L20" s="1">
        <v>-1.3333333333333333</v>
      </c>
      <c r="M20" s="1">
        <v>-1.4999999999999996</v>
      </c>
      <c r="N20" s="1">
        <v>1.2222222222222223</v>
      </c>
      <c r="O20" s="1">
        <v>1.3333333333333333</v>
      </c>
      <c r="P20" s="1"/>
      <c r="Q20" s="1"/>
      <c r="R20" s="1"/>
      <c r="U20" s="1"/>
      <c r="V20" s="1"/>
      <c r="W20" s="1"/>
      <c r="X20" s="1"/>
      <c r="AC20" s="4" cm="1">
        <f t="array" ref="AC20:AF23">MMULT(AC4:AF7,AD13:AG16)</f>
        <v>0.99999999999999956</v>
      </c>
      <c r="AD20" s="4">
        <v>-6.5322875547377605E-16</v>
      </c>
      <c r="AE20" s="4">
        <v>-1.0540337343301512E-15</v>
      </c>
      <c r="AF20" s="4">
        <v>-3.3306690738754696E-16</v>
      </c>
      <c r="AH20" s="4" cm="1">
        <f t="array" ref="AH20:AK23">MMULT(AD13:AG16,AC4:AF7)</f>
        <v>1.0000000000000002</v>
      </c>
      <c r="AI20" s="4">
        <v>1.6653345369377348E-16</v>
      </c>
      <c r="AJ20" s="4">
        <v>5.8980598183211441E-17</v>
      </c>
      <c r="AK20" s="4">
        <v>-1.6653345369377348E-16</v>
      </c>
    </row>
    <row r="21" spans="1:40" x14ac:dyDescent="0.25">
      <c r="B21" s="1"/>
      <c r="C21" s="1"/>
      <c r="D21" s="1"/>
      <c r="E21" s="1"/>
      <c r="G21" s="8"/>
      <c r="J21" s="1"/>
      <c r="K21" s="1"/>
      <c r="L21" s="1">
        <v>-2</v>
      </c>
      <c r="M21" s="1">
        <v>-1.6666666666666665</v>
      </c>
      <c r="N21" s="1">
        <v>1.3333333333333333</v>
      </c>
      <c r="O21" s="1">
        <v>2</v>
      </c>
      <c r="P21" s="1"/>
      <c r="Q21" s="1"/>
      <c r="R21" s="1"/>
      <c r="U21" s="1"/>
      <c r="V21" s="1"/>
      <c r="W21" s="1"/>
      <c r="X21" s="1"/>
      <c r="AC21" s="4">
        <v>-6.5322875547377605E-16</v>
      </c>
      <c r="AD21" s="4">
        <v>0.99999999999999967</v>
      </c>
      <c r="AE21" s="4">
        <v>9.8502033373490221E-32</v>
      </c>
      <c r="AF21" s="4">
        <v>-1.0348679201886736E-15</v>
      </c>
      <c r="AH21" s="4">
        <v>1.6653345369377348E-16</v>
      </c>
      <c r="AI21" s="4">
        <v>1</v>
      </c>
      <c r="AJ21" s="4">
        <v>6.7827687910693157E-16</v>
      </c>
      <c r="AK21" s="4">
        <v>-3.3306690738754696E-16</v>
      </c>
    </row>
    <row r="22" spans="1:40" x14ac:dyDescent="0.25">
      <c r="B22" s="1"/>
      <c r="C22" s="1"/>
      <c r="D22" s="1"/>
      <c r="E22" s="1"/>
      <c r="J22" s="1"/>
      <c r="K22" s="1"/>
      <c r="L22" s="1" t="str">
        <f ca="1">_xlfn.FORMULATEXT(L18)</f>
        <v>=1/6*(MMULT(TRANSPOSE(B11:E16),B11:E16))</v>
      </c>
      <c r="M22" s="1"/>
      <c r="O22" s="1"/>
      <c r="P22" s="1"/>
      <c r="Q22" s="1"/>
      <c r="R22" s="1"/>
      <c r="AC22" s="4">
        <v>-1.0540337343301512E-15</v>
      </c>
      <c r="AD22" s="4">
        <v>9.8502033373490221E-32</v>
      </c>
      <c r="AE22" s="4">
        <v>1.0000000000000007</v>
      </c>
      <c r="AF22" s="4">
        <v>-1.5813896710271007E-15</v>
      </c>
      <c r="AH22" s="4">
        <v>5.8980598183211441E-17</v>
      </c>
      <c r="AI22" s="4">
        <v>6.7827687910693157E-16</v>
      </c>
      <c r="AJ22" s="4">
        <v>1.0000000000000004</v>
      </c>
      <c r="AK22" s="4">
        <v>-2.2204460492503131E-15</v>
      </c>
    </row>
    <row r="23" spans="1:40" x14ac:dyDescent="0.25">
      <c r="B23" s="1"/>
      <c r="C23" s="1"/>
      <c r="D23" s="1"/>
      <c r="E23" s="1"/>
      <c r="J23" s="1"/>
      <c r="K23" s="1"/>
      <c r="L23" s="1"/>
      <c r="M23" s="1"/>
      <c r="O23" s="1"/>
      <c r="P23" s="1"/>
      <c r="Q23" s="1"/>
      <c r="R23" s="1"/>
      <c r="AC23" s="4">
        <v>-3.3306690738754696E-16</v>
      </c>
      <c r="AD23" s="4">
        <v>-1.0348679201886736E-15</v>
      </c>
      <c r="AE23" s="4">
        <v>-1.5813896710271007E-15</v>
      </c>
      <c r="AF23" s="4">
        <v>1.0000000000000004</v>
      </c>
      <c r="AH23" s="4">
        <v>-1.6653345369377348E-16</v>
      </c>
      <c r="AI23" s="4">
        <v>-3.3306690738754696E-16</v>
      </c>
      <c r="AJ23" s="4">
        <v>-2.2204460492503131E-15</v>
      </c>
      <c r="AK23" s="4">
        <v>0.99999999999999978</v>
      </c>
    </row>
    <row r="24" spans="1:40" x14ac:dyDescent="0.25">
      <c r="B24" s="1"/>
      <c r="C24" s="1"/>
      <c r="D24" s="1"/>
      <c r="E24" s="1"/>
      <c r="AC24" s="1" t="str">
        <f ca="1">_xlfn.FORMULATEXT(AC20)</f>
        <v>=MMULT(AC4:AF7,AD13:AG16)</v>
      </c>
      <c r="AD24" s="1"/>
      <c r="AE24" s="1"/>
      <c r="AF24" s="1"/>
      <c r="AH24" t="str">
        <f ca="1">_xlfn.FORMULATEXT(AH20)</f>
        <v>=MMULT(AD13:AG16,AC4:AF7)</v>
      </c>
    </row>
    <row r="25" spans="1:40" x14ac:dyDescent="0.25">
      <c r="B25" s="1"/>
      <c r="C25" s="1"/>
      <c r="D25" s="1"/>
      <c r="E25" s="1"/>
      <c r="O25" s="1"/>
      <c r="P25" s="1"/>
      <c r="Q25" s="1"/>
      <c r="R25" s="1"/>
      <c r="U25" s="1"/>
      <c r="V25" s="1"/>
      <c r="W25" s="1"/>
      <c r="X25" s="1"/>
      <c r="AC25" s="1"/>
      <c r="AD25" s="1"/>
      <c r="AE25" s="1"/>
      <c r="AF25" s="1"/>
    </row>
    <row r="26" spans="1:40" x14ac:dyDescent="0.25">
      <c r="B26" s="1"/>
      <c r="C26" s="1"/>
      <c r="D26" s="1"/>
      <c r="E26" s="1"/>
      <c r="O26" s="1"/>
      <c r="P26" s="1"/>
      <c r="Q26" s="1"/>
      <c r="R26" s="1"/>
      <c r="U26" s="1"/>
      <c r="V26" s="1"/>
      <c r="W26" s="1"/>
      <c r="X26" s="1"/>
      <c r="AC26" s="1"/>
      <c r="AD26" s="1"/>
      <c r="AE26" s="1"/>
      <c r="AF26" s="1"/>
    </row>
    <row r="27" spans="1:40" x14ac:dyDescent="0.25">
      <c r="B27" s="1"/>
      <c r="C27" s="1"/>
      <c r="D27" s="1"/>
      <c r="E27" s="1"/>
      <c r="O27" s="1"/>
      <c r="P27" s="1"/>
      <c r="Q27" s="1"/>
      <c r="R27" s="1"/>
      <c r="U27" s="1"/>
      <c r="V27" s="1"/>
      <c r="W27" s="1"/>
      <c r="X27" s="1"/>
      <c r="AC27" s="1"/>
      <c r="AD27" s="1"/>
      <c r="AE27" s="1"/>
      <c r="AF27" s="1"/>
    </row>
    <row r="28" spans="1:40" x14ac:dyDescent="0.25">
      <c r="O28" s="1"/>
      <c r="P28" s="1"/>
      <c r="Q28" s="1"/>
      <c r="R28" s="1"/>
      <c r="U28" s="1"/>
      <c r="V28" s="1"/>
      <c r="W28" s="1"/>
      <c r="X28" s="1"/>
      <c r="AC28" s="1"/>
      <c r="AD28" s="1"/>
      <c r="AE28" s="1"/>
      <c r="AF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F9D6-4BCC-4C6E-A3D6-E8D2F169F7E6}">
  <dimension ref="A1:Y28"/>
  <sheetViews>
    <sheetView workbookViewId="0">
      <selection activeCell="F1" sqref="F1"/>
    </sheetView>
  </sheetViews>
  <sheetFormatPr defaultRowHeight="15" x14ac:dyDescent="0.25"/>
  <cols>
    <col min="3" max="3" width="8.85546875" customWidth="1"/>
    <col min="13" max="16" width="11" customWidth="1"/>
    <col min="18" max="18" width="12.7109375" bestFit="1" customWidth="1"/>
  </cols>
  <sheetData>
    <row r="1" spans="1:25" ht="15.75" thickBot="1" x14ac:dyDescent="0.3">
      <c r="B1" t="s">
        <v>32</v>
      </c>
      <c r="C1" t="s">
        <v>33</v>
      </c>
      <c r="D1" t="s">
        <v>34</v>
      </c>
      <c r="E1" t="s">
        <v>35</v>
      </c>
      <c r="G1" t="s">
        <v>53</v>
      </c>
      <c r="M1" s="7" t="s">
        <v>32</v>
      </c>
      <c r="N1" s="7" t="s">
        <v>33</v>
      </c>
      <c r="O1" s="7" t="s">
        <v>34</v>
      </c>
      <c r="P1" s="7" t="s">
        <v>35</v>
      </c>
      <c r="T1" t="s">
        <v>36</v>
      </c>
      <c r="V1" t="s">
        <v>37</v>
      </c>
    </row>
    <row r="2" spans="1:25" ht="15.75" thickBot="1" x14ac:dyDescent="0.3">
      <c r="A2" t="s">
        <v>38</v>
      </c>
      <c r="B2">
        <v>5</v>
      </c>
      <c r="C2">
        <v>4</v>
      </c>
      <c r="D2">
        <v>2</v>
      </c>
      <c r="E2">
        <v>1</v>
      </c>
      <c r="G2" s="3"/>
      <c r="H2" s="3" t="s">
        <v>0</v>
      </c>
      <c r="I2" s="3" t="s">
        <v>1</v>
      </c>
      <c r="J2" s="3" t="s">
        <v>2</v>
      </c>
      <c r="K2" s="3" t="s">
        <v>3</v>
      </c>
      <c r="M2" cm="1">
        <f t="array" ref="M2:P8">[1]!eigVECTSym(H3:K6)</f>
        <v>8.4148141067871141</v>
      </c>
      <c r="N2">
        <v>0.67959958156260625</v>
      </c>
      <c r="O2">
        <v>8.5424379898125846E-2</v>
      </c>
      <c r="P2">
        <v>5.3495265085481303E-2</v>
      </c>
      <c r="Q2" t="s">
        <v>39</v>
      </c>
      <c r="T2" s="10">
        <f>M2</f>
        <v>8.4148141067871141</v>
      </c>
      <c r="U2" s="10">
        <f>T2/$T$6</f>
        <v>0.91135170831629475</v>
      </c>
      <c r="V2" s="10">
        <f>U2</f>
        <v>0.91135170831629475</v>
      </c>
    </row>
    <row r="3" spans="1:25" x14ac:dyDescent="0.25">
      <c r="A3" t="s">
        <v>40</v>
      </c>
      <c r="B3">
        <v>4</v>
      </c>
      <c r="C3">
        <v>5</v>
      </c>
      <c r="D3">
        <v>2</v>
      </c>
      <c r="E3">
        <v>2</v>
      </c>
      <c r="G3" t="s">
        <v>0</v>
      </c>
      <c r="H3" s="1">
        <f>_xlfn.VAR.S($B$2:$B$7)</f>
        <v>2.4</v>
      </c>
      <c r="I3" s="1">
        <f>H4</f>
        <v>2</v>
      </c>
      <c r="J3" s="1">
        <f>H5</f>
        <v>-1.6</v>
      </c>
      <c r="K3" s="1">
        <f>H6</f>
        <v>-2.6000000000000005</v>
      </c>
      <c r="L3" s="7"/>
      <c r="M3" s="25">
        <v>-0.51810244509786019</v>
      </c>
      <c r="N3" s="26">
        <v>-0.38947147186111053</v>
      </c>
      <c r="O3" s="26">
        <v>-0.47163134874515089</v>
      </c>
      <c r="P3" s="27">
        <v>-0.5978676273815049</v>
      </c>
      <c r="Q3" t="s">
        <v>41</v>
      </c>
      <c r="T3" s="10">
        <f>N2</f>
        <v>0.67959958156260625</v>
      </c>
      <c r="U3" s="10">
        <f>T3/$T$6</f>
        <v>7.360284276851338E-2</v>
      </c>
      <c r="V3" s="10">
        <f>U3+V2</f>
        <v>0.98495455108480812</v>
      </c>
    </row>
    <row r="4" spans="1:25" x14ac:dyDescent="0.25">
      <c r="A4" t="s">
        <v>42</v>
      </c>
      <c r="B4">
        <v>1</v>
      </c>
      <c r="C4">
        <v>2</v>
      </c>
      <c r="D4">
        <v>4</v>
      </c>
      <c r="E4">
        <v>5</v>
      </c>
      <c r="G4" t="s">
        <v>1</v>
      </c>
      <c r="H4" s="1">
        <f>_xlfn.COVARIANCE.S(B2:B7,C2:C7)</f>
        <v>2</v>
      </c>
      <c r="I4" s="1">
        <f>_xlfn.VAR.S($C$2:$C$7)</f>
        <v>2.4</v>
      </c>
      <c r="J4" s="1">
        <f>I5</f>
        <v>-1.7999999999999996</v>
      </c>
      <c r="K4" s="1">
        <f>I6</f>
        <v>-2.2000000000000002</v>
      </c>
      <c r="L4" s="7"/>
      <c r="M4" s="28">
        <v>-0.49925617556474255</v>
      </c>
      <c r="N4" s="10">
        <v>0.63869476492034771</v>
      </c>
      <c r="O4" s="10">
        <v>0.46763672711038884</v>
      </c>
      <c r="P4" s="29">
        <v>-0.35231826504070574</v>
      </c>
      <c r="T4" s="10">
        <f>O2</f>
        <v>8.5424379898125846E-2</v>
      </c>
      <c r="U4" s="10">
        <f>T4/$T$6</f>
        <v>9.2517378951038898E-3</v>
      </c>
      <c r="V4" s="10">
        <f t="shared" ref="V4:V5" si="0">U4+V3</f>
        <v>0.99420628897991203</v>
      </c>
    </row>
    <row r="5" spans="1:25" x14ac:dyDescent="0.25">
      <c r="A5" t="s">
        <v>43</v>
      </c>
      <c r="B5">
        <v>2</v>
      </c>
      <c r="C5">
        <v>1</v>
      </c>
      <c r="D5">
        <v>5</v>
      </c>
      <c r="E5">
        <v>4</v>
      </c>
      <c r="G5" t="s">
        <v>2</v>
      </c>
      <c r="H5" s="1">
        <f>_xlfn.COVARIANCE.S(B2:B7,D2:D7)</f>
        <v>-1.6</v>
      </c>
      <c r="I5" s="1">
        <f>_xlfn.COVARIANCE.S(C2:C7,D2:D7)</f>
        <v>-1.7999999999999996</v>
      </c>
      <c r="J5" s="1">
        <f>_xlfn.VAR.S($D$2:$D$7)</f>
        <v>1.4666666666666657</v>
      </c>
      <c r="K5" s="1">
        <f>J6</f>
        <v>1.7333333333333336</v>
      </c>
      <c r="L5" s="7"/>
      <c r="M5" s="28">
        <v>0.39170923774579092</v>
      </c>
      <c r="N5" s="10">
        <v>-0.43491168123944945</v>
      </c>
      <c r="O5" s="10">
        <v>0.60834740547119448</v>
      </c>
      <c r="P5" s="29">
        <v>-0.53603091034244732</v>
      </c>
      <c r="T5" s="10">
        <f>P2</f>
        <v>5.3495265085481303E-2</v>
      </c>
      <c r="U5" s="10">
        <f>T5/$T$6</f>
        <v>5.7937110200882323E-3</v>
      </c>
      <c r="V5">
        <f t="shared" si="0"/>
        <v>1.0000000000000002</v>
      </c>
    </row>
    <row r="6" spans="1:25" ht="15.75" thickBot="1" x14ac:dyDescent="0.3">
      <c r="A6" t="s">
        <v>44</v>
      </c>
      <c r="B6">
        <v>4</v>
      </c>
      <c r="C6">
        <v>4</v>
      </c>
      <c r="D6">
        <v>3</v>
      </c>
      <c r="E6">
        <v>2</v>
      </c>
      <c r="G6" s="5" t="s">
        <v>3</v>
      </c>
      <c r="H6" s="6">
        <f>_xlfn.COVARIANCE.S(B2:B7,E2:E7)</f>
        <v>-2.6000000000000005</v>
      </c>
      <c r="I6" s="6">
        <f>_xlfn.COVARIANCE.S(C2:C7,E2:E7)</f>
        <v>-2.2000000000000002</v>
      </c>
      <c r="J6" s="6">
        <f>_xlfn.COVARIANCE.S(D2:D7,E2:E7)</f>
        <v>1.7333333333333336</v>
      </c>
      <c r="K6" s="6">
        <f>_xlfn.VAR.S($E$2:$E$7)</f>
        <v>2.9666666666666672</v>
      </c>
      <c r="L6" s="7"/>
      <c r="M6" s="30">
        <v>0.57347798615875156</v>
      </c>
      <c r="N6" s="11">
        <v>0.50123128333251254</v>
      </c>
      <c r="O6" s="11">
        <v>-0.4345033907747784</v>
      </c>
      <c r="P6" s="31">
        <v>-0.48072549693704048</v>
      </c>
      <c r="S6" t="s">
        <v>45</v>
      </c>
      <c r="T6" s="10">
        <f>SUM(T2:T5)</f>
        <v>9.2333333333333254</v>
      </c>
      <c r="U6">
        <f>SUM(U2:U5)</f>
        <v>1.0000000000000002</v>
      </c>
    </row>
    <row r="7" spans="1:25" x14ac:dyDescent="0.25">
      <c r="A7" t="s">
        <v>46</v>
      </c>
      <c r="B7">
        <v>2</v>
      </c>
      <c r="C7">
        <v>2</v>
      </c>
      <c r="D7">
        <v>4</v>
      </c>
      <c r="E7">
        <v>5</v>
      </c>
      <c r="M7" s="10">
        <v>-2.9898379568360049E-12</v>
      </c>
      <c r="N7" s="10">
        <v>-8.1821102090433688E-16</v>
      </c>
      <c r="O7" s="10">
        <v>-1.4491711025376276E-19</v>
      </c>
      <c r="P7" s="10">
        <v>4.6169011596728002E-17</v>
      </c>
    </row>
    <row r="8" spans="1:25" x14ac:dyDescent="0.25">
      <c r="A8" t="s">
        <v>24</v>
      </c>
      <c r="B8" s="1">
        <f>AVERAGE(B2:B7)</f>
        <v>3</v>
      </c>
      <c r="C8" s="1">
        <f t="shared" ref="C8:E8" si="1">AVERAGE(C2:C7)</f>
        <v>3</v>
      </c>
      <c r="D8" s="1">
        <f t="shared" si="1"/>
        <v>3.3333333333333335</v>
      </c>
      <c r="E8" s="1">
        <f t="shared" si="1"/>
        <v>3.1666666666666665</v>
      </c>
      <c r="M8" s="10">
        <v>9.7699626167013776E-15</v>
      </c>
      <c r="N8" s="10">
        <v>8.8817841970012523E-16</v>
      </c>
      <c r="O8" s="10">
        <v>4.4408920985006262E-16</v>
      </c>
      <c r="P8" s="10">
        <v>4.4408920985006262E-16</v>
      </c>
    </row>
    <row r="9" spans="1:25" x14ac:dyDescent="0.25">
      <c r="M9" t="str">
        <f ca="1">_xlfn.FORMULATEXT(M2)</f>
        <v>=eigVECTSym(H3:K6)</v>
      </c>
    </row>
    <row r="10" spans="1:25" ht="15.75" thickBot="1" x14ac:dyDescent="0.3">
      <c r="A10" t="s">
        <v>26</v>
      </c>
      <c r="G10" t="s">
        <v>54</v>
      </c>
      <c r="M10" t="s">
        <v>47</v>
      </c>
      <c r="Q10" t="s">
        <v>48</v>
      </c>
    </row>
    <row r="11" spans="1:25" x14ac:dyDescent="0.25">
      <c r="B11" s="1">
        <f>B2-AVERAGE(B$2:B$7)</f>
        <v>2</v>
      </c>
      <c r="C11" s="1">
        <f t="shared" ref="C11:D11" si="2">C2-AVERAGE(C$2:C$7)</f>
        <v>1</v>
      </c>
      <c r="D11" s="1">
        <f t="shared" si="2"/>
        <v>-1.3333333333333335</v>
      </c>
      <c r="E11" s="1">
        <f>E2-AVERAGE(E$2:E$7)</f>
        <v>-2.1666666666666665</v>
      </c>
      <c r="G11" s="3"/>
      <c r="H11" s="3" t="s">
        <v>0</v>
      </c>
      <c r="I11" s="3" t="s">
        <v>1</v>
      </c>
      <c r="J11" s="3" t="s">
        <v>2</v>
      </c>
      <c r="K11" s="3" t="s">
        <v>3</v>
      </c>
      <c r="L11" s="7" t="s">
        <v>38</v>
      </c>
      <c r="M11" s="10">
        <f>B11*$M$3</f>
        <v>-1.0362048901957204</v>
      </c>
      <c r="N11" s="10">
        <f>C11*$M$4</f>
        <v>-0.49925617556474255</v>
      </c>
      <c r="O11" s="10">
        <f>D11*$M$5</f>
        <v>-0.52227898366105463</v>
      </c>
      <c r="P11" s="10">
        <f>E11*$M$6</f>
        <v>-1.2425356366772951</v>
      </c>
      <c r="Q11" s="10">
        <f>SUM(M11:P11)</f>
        <v>-3.3002756860988125</v>
      </c>
      <c r="R11" t="s">
        <v>45</v>
      </c>
    </row>
    <row r="12" spans="1:25" x14ac:dyDescent="0.25">
      <c r="B12" s="1">
        <f t="shared" ref="B12:E16" si="3">B3-AVERAGE(B$2:B$7)</f>
        <v>1</v>
      </c>
      <c r="C12" s="1">
        <f t="shared" si="3"/>
        <v>2</v>
      </c>
      <c r="D12" s="1">
        <f t="shared" si="3"/>
        <v>-1.3333333333333335</v>
      </c>
      <c r="E12" s="1">
        <f t="shared" si="3"/>
        <v>-1.1666666666666665</v>
      </c>
      <c r="G12" t="s">
        <v>0</v>
      </c>
      <c r="H12" s="1">
        <f>_xlfn.VAR.S($B$11:$B$16)</f>
        <v>2.4</v>
      </c>
      <c r="I12" s="1">
        <f>H13</f>
        <v>2</v>
      </c>
      <c r="J12" s="1">
        <f>H14</f>
        <v>-1.6</v>
      </c>
      <c r="K12" s="1">
        <f>H15</f>
        <v>-2.6</v>
      </c>
      <c r="L12" s="7" t="s">
        <v>40</v>
      </c>
      <c r="M12" s="10">
        <f t="shared" ref="M12:M16" si="4">B12*$M$3</f>
        <v>-0.51810244509786019</v>
      </c>
      <c r="N12" s="10">
        <f>C12*$M$4</f>
        <v>-0.99851235112948511</v>
      </c>
      <c r="O12" s="10">
        <f t="shared" ref="O12:O16" si="5">D12*$M$5</f>
        <v>-0.52227898366105463</v>
      </c>
      <c r="P12" s="10">
        <f t="shared" ref="P12:P16" si="6">E12*$M$6</f>
        <v>-0.66905765051854338</v>
      </c>
      <c r="Q12" s="10">
        <f t="shared" ref="Q12:Q16" si="7">SUM(M12:P12)</f>
        <v>-2.7079514304069434</v>
      </c>
    </row>
    <row r="13" spans="1:25" x14ac:dyDescent="0.25">
      <c r="B13" s="1">
        <f t="shared" si="3"/>
        <v>-2</v>
      </c>
      <c r="C13" s="1">
        <f t="shared" si="3"/>
        <v>-1</v>
      </c>
      <c r="D13" s="1">
        <f t="shared" si="3"/>
        <v>0.66666666666666652</v>
      </c>
      <c r="E13" s="1">
        <f t="shared" si="3"/>
        <v>1.8333333333333335</v>
      </c>
      <c r="G13" t="s">
        <v>1</v>
      </c>
      <c r="H13" s="1">
        <f>_xlfn.COVARIANCE.S(B11:B16,C11:C16)</f>
        <v>2</v>
      </c>
      <c r="I13" s="1">
        <f>_xlfn.VAR.S($C$11:$C$16)</f>
        <v>2.4</v>
      </c>
      <c r="J13" s="1">
        <f>I14</f>
        <v>-1.8</v>
      </c>
      <c r="K13" s="1">
        <f>I15</f>
        <v>-2.2000000000000002</v>
      </c>
      <c r="L13" s="7" t="s">
        <v>42</v>
      </c>
      <c r="M13" s="10">
        <f t="shared" si="4"/>
        <v>1.0362048901957204</v>
      </c>
      <c r="N13" s="10">
        <f t="shared" ref="N13:N16" si="8">C13*$M$4</f>
        <v>0.49925617556474255</v>
      </c>
      <c r="O13" s="10">
        <f t="shared" si="5"/>
        <v>0.2611394918305272</v>
      </c>
      <c r="P13" s="10">
        <f t="shared" si="6"/>
        <v>1.0513763079577112</v>
      </c>
      <c r="Q13" s="10">
        <f t="shared" si="7"/>
        <v>2.8479768655487012</v>
      </c>
      <c r="S13" t="s">
        <v>49</v>
      </c>
      <c r="X13" t="str">
        <f t="shared" ref="X13:X19" si="9">Q10</f>
        <v>PC1 score</v>
      </c>
      <c r="Y13" t="str">
        <f>Q20</f>
        <v>PC2 score</v>
      </c>
    </row>
    <row r="14" spans="1:25" x14ac:dyDescent="0.25">
      <c r="B14" s="1">
        <f t="shared" si="3"/>
        <v>-1</v>
      </c>
      <c r="C14" s="1">
        <f t="shared" si="3"/>
        <v>-2</v>
      </c>
      <c r="D14" s="1">
        <f t="shared" si="3"/>
        <v>1.6666666666666665</v>
      </c>
      <c r="E14" s="1">
        <f t="shared" si="3"/>
        <v>0.83333333333333348</v>
      </c>
      <c r="G14" t="s">
        <v>2</v>
      </c>
      <c r="H14" s="1">
        <f>_xlfn.COVARIANCE.S(B11:B16,D11:D16)</f>
        <v>-1.6</v>
      </c>
      <c r="I14" s="1">
        <f>_xlfn.COVARIANCE.S(C11:C16,D11:D16)</f>
        <v>-1.8</v>
      </c>
      <c r="J14" s="1">
        <f>_xlfn.VAR.S($D$11:$D$16)</f>
        <v>1.466666666666667</v>
      </c>
      <c r="K14" s="1">
        <f>J15</f>
        <v>1.7333333333333332</v>
      </c>
      <c r="L14" s="7" t="s">
        <v>43</v>
      </c>
      <c r="M14" s="10">
        <f t="shared" si="4"/>
        <v>0.51810244509786019</v>
      </c>
      <c r="N14" s="10">
        <f t="shared" si="8"/>
        <v>0.99851235112948511</v>
      </c>
      <c r="O14" s="10">
        <f t="shared" si="5"/>
        <v>0.65284872957631812</v>
      </c>
      <c r="P14" s="10">
        <f t="shared" si="6"/>
        <v>0.47789832179895975</v>
      </c>
      <c r="Q14" s="10">
        <f t="shared" si="7"/>
        <v>2.6473618476026228</v>
      </c>
      <c r="S14" t="s">
        <v>32</v>
      </c>
      <c r="T14" t="s">
        <v>33</v>
      </c>
      <c r="U14" t="s">
        <v>34</v>
      </c>
      <c r="V14" t="s">
        <v>35</v>
      </c>
      <c r="X14" s="1">
        <f t="shared" si="9"/>
        <v>-3.3002756860988125</v>
      </c>
      <c r="Y14" s="1">
        <f t="shared" ref="Y14:Y19" si="10">Q21</f>
        <v>-0.64636705103638437</v>
      </c>
    </row>
    <row r="15" spans="1:25" ht="15.75" thickBot="1" x14ac:dyDescent="0.3">
      <c r="B15" s="1">
        <f t="shared" si="3"/>
        <v>1</v>
      </c>
      <c r="C15" s="1">
        <f t="shared" si="3"/>
        <v>1</v>
      </c>
      <c r="D15" s="1">
        <f t="shared" si="3"/>
        <v>-0.33333333333333348</v>
      </c>
      <c r="E15" s="1">
        <f t="shared" si="3"/>
        <v>-1.1666666666666665</v>
      </c>
      <c r="G15" s="5" t="s">
        <v>3</v>
      </c>
      <c r="H15" s="6">
        <f>_xlfn.COVARIANCE.S(B11:B16,E11:E16)</f>
        <v>-2.6</v>
      </c>
      <c r="I15" s="6">
        <f>_xlfn.COVARIANCE.S(C11:C16,E11:E16)</f>
        <v>-2.2000000000000002</v>
      </c>
      <c r="J15" s="6">
        <f>_xlfn.COVARIANCE.S(D11:D16,E11:E16)</f>
        <v>1.7333333333333332</v>
      </c>
      <c r="K15" s="6">
        <f>_xlfn.VAR.S($E$11:$E$16)</f>
        <v>2.9666666666666663</v>
      </c>
      <c r="L15" s="7" t="s">
        <v>44</v>
      </c>
      <c r="M15" s="10">
        <f t="shared" si="4"/>
        <v>-0.51810244509786019</v>
      </c>
      <c r="N15" s="10">
        <f t="shared" si="8"/>
        <v>-0.49925617556474255</v>
      </c>
      <c r="O15" s="10">
        <f t="shared" si="5"/>
        <v>-0.13056974591526369</v>
      </c>
      <c r="P15" s="10">
        <f t="shared" si="6"/>
        <v>-0.66905765051854338</v>
      </c>
      <c r="Q15" s="10">
        <f t="shared" si="7"/>
        <v>-1.8169860170964101</v>
      </c>
      <c r="S15" s="10">
        <f>M3</f>
        <v>-0.51810244509786019</v>
      </c>
      <c r="T15" s="10">
        <f>M4</f>
        <v>-0.49925617556474255</v>
      </c>
      <c r="U15" s="10">
        <f>M5</f>
        <v>0.39170923774579092</v>
      </c>
      <c r="V15" s="10">
        <f>M6</f>
        <v>0.57347798615875156</v>
      </c>
      <c r="X15" s="1">
        <f t="shared" si="9"/>
        <v>-2.7079514304069434</v>
      </c>
      <c r="Y15" s="1">
        <f t="shared" si="10"/>
        <v>0.88303046907758653</v>
      </c>
    </row>
    <row r="16" spans="1:25" x14ac:dyDescent="0.25">
      <c r="B16" s="1">
        <f t="shared" si="3"/>
        <v>-1</v>
      </c>
      <c r="C16" s="1">
        <f t="shared" si="3"/>
        <v>-1</v>
      </c>
      <c r="D16" s="1">
        <f t="shared" si="3"/>
        <v>0.66666666666666652</v>
      </c>
      <c r="E16" s="1">
        <f t="shared" si="3"/>
        <v>1.8333333333333335</v>
      </c>
      <c r="L16" s="7" t="s">
        <v>46</v>
      </c>
      <c r="M16" s="10">
        <f t="shared" si="4"/>
        <v>0.51810244509786019</v>
      </c>
      <c r="N16" s="10">
        <f t="shared" si="8"/>
        <v>0.49925617556474255</v>
      </c>
      <c r="O16" s="10">
        <f t="shared" si="5"/>
        <v>0.2611394918305272</v>
      </c>
      <c r="P16" s="10">
        <f t="shared" si="6"/>
        <v>1.0513763079577112</v>
      </c>
      <c r="Q16" s="10">
        <f t="shared" si="7"/>
        <v>2.3298744204508415</v>
      </c>
      <c r="X16" s="1">
        <f t="shared" si="9"/>
        <v>2.8479768655487012</v>
      </c>
      <c r="Y16" s="1">
        <f t="shared" si="10"/>
        <v>0.7692310774185136</v>
      </c>
    </row>
    <row r="17" spans="1:25" x14ac:dyDescent="0.25">
      <c r="A17" t="s">
        <v>24</v>
      </c>
      <c r="B17">
        <f>AVERAGE(B11:B16)</f>
        <v>0</v>
      </c>
      <c r="C17">
        <f t="shared" ref="C17:E17" si="11">AVERAGE(C11:C16)</f>
        <v>0</v>
      </c>
      <c r="D17" s="36">
        <f>AVERAGE(D11:D16)</f>
        <v>-1.4802973661668753E-16</v>
      </c>
      <c r="E17">
        <f t="shared" si="11"/>
        <v>0</v>
      </c>
      <c r="L17" s="7" t="s">
        <v>45</v>
      </c>
      <c r="M17">
        <f>SUM(M11:M16)</f>
        <v>0</v>
      </c>
      <c r="N17">
        <f t="shared" ref="N17:P17" si="12">SUM(N11:N16)</f>
        <v>0</v>
      </c>
      <c r="O17">
        <f t="shared" si="12"/>
        <v>-4.4408920985006262E-16</v>
      </c>
      <c r="P17">
        <f t="shared" si="12"/>
        <v>0</v>
      </c>
      <c r="X17" s="1">
        <f t="shared" si="9"/>
        <v>2.6473618476026228</v>
      </c>
      <c r="Y17" s="1">
        <f t="shared" si="10"/>
        <v>-1.1950781239349066</v>
      </c>
    </row>
    <row r="18" spans="1:25" x14ac:dyDescent="0.25">
      <c r="H18" cm="1">
        <f t="array" ref="H18:K21">1/5*MMULT(TRANSPOSE(B11:E16),B11:E16)</f>
        <v>2.4000000000000004</v>
      </c>
      <c r="I18">
        <v>2</v>
      </c>
      <c r="J18">
        <v>-1.6</v>
      </c>
      <c r="K18">
        <v>-2.6000000000000005</v>
      </c>
      <c r="L18" s="7"/>
      <c r="M18" s="10" t="str">
        <f ca="1">_xlfn.FORMULATEXT(M11)</f>
        <v>=B11*$M$3</v>
      </c>
      <c r="N18" s="10" t="str">
        <f t="shared" ref="N18:P18" ca="1" si="13">_xlfn.FORMULATEXT(N11)</f>
        <v>=C11*$M$4</v>
      </c>
      <c r="O18" s="10" t="str">
        <f t="shared" ca="1" si="13"/>
        <v>=D11*$M$5</v>
      </c>
      <c r="P18" s="10" t="str">
        <f t="shared" ca="1" si="13"/>
        <v>=E11*$M$6</v>
      </c>
      <c r="X18" s="1">
        <f t="shared" si="9"/>
        <v>-1.8169860170964101</v>
      </c>
      <c r="Y18" s="1">
        <f t="shared" si="10"/>
        <v>-0.1905759770822108</v>
      </c>
    </row>
    <row r="19" spans="1:25" x14ac:dyDescent="0.25">
      <c r="H19">
        <v>2</v>
      </c>
      <c r="I19">
        <v>2.4000000000000004</v>
      </c>
      <c r="J19">
        <v>-1.7999999999999998</v>
      </c>
      <c r="K19">
        <v>-2.2000000000000002</v>
      </c>
      <c r="X19" s="1">
        <f t="shared" si="9"/>
        <v>2.3298744204508415</v>
      </c>
      <c r="Y19" s="1">
        <f t="shared" si="10"/>
        <v>0.37975960555740307</v>
      </c>
    </row>
    <row r="20" spans="1:25" x14ac:dyDescent="0.25">
      <c r="H20">
        <v>-1.6</v>
      </c>
      <c r="I20">
        <v>-1.7999999999999998</v>
      </c>
      <c r="J20">
        <v>1.466666666666667</v>
      </c>
      <c r="K20">
        <v>1.7333333333333336</v>
      </c>
      <c r="M20" t="s">
        <v>50</v>
      </c>
      <c r="Q20" t="s">
        <v>51</v>
      </c>
    </row>
    <row r="21" spans="1:25" x14ac:dyDescent="0.25">
      <c r="H21">
        <v>-2.6000000000000005</v>
      </c>
      <c r="I21">
        <v>-2.2000000000000002</v>
      </c>
      <c r="J21">
        <v>1.7333333333333336</v>
      </c>
      <c r="K21">
        <v>2.9666666666666668</v>
      </c>
      <c r="L21" s="7" t="s">
        <v>38</v>
      </c>
      <c r="M21" s="10">
        <f t="shared" ref="M21:M26" si="14">B11*$N$3</f>
        <v>-0.77894294372222106</v>
      </c>
      <c r="N21" s="10">
        <f t="shared" ref="N21:N26" si="15">C11*$N$4</f>
        <v>0.63869476492034771</v>
      </c>
      <c r="O21" s="10">
        <f t="shared" ref="O21:O26" si="16">D11*$N$5</f>
        <v>0.57988224165259938</v>
      </c>
      <c r="P21" s="10">
        <f t="shared" ref="P21:P26" si="17">E11*$N$6</f>
        <v>-1.0860011138871104</v>
      </c>
      <c r="Q21" s="10">
        <f>SUM(M21:P21)</f>
        <v>-0.64636705103638437</v>
      </c>
      <c r="R21" t="s">
        <v>45</v>
      </c>
    </row>
    <row r="22" spans="1:25" x14ac:dyDescent="0.25">
      <c r="L22" s="7" t="s">
        <v>40</v>
      </c>
      <c r="M22" s="10">
        <f t="shared" si="14"/>
        <v>-0.38947147186111053</v>
      </c>
      <c r="N22" s="10">
        <f t="shared" si="15"/>
        <v>1.2773895298406954</v>
      </c>
      <c r="O22" s="10">
        <f t="shared" si="16"/>
        <v>0.57988224165259938</v>
      </c>
      <c r="P22" s="10">
        <f t="shared" si="17"/>
        <v>-0.58476983055459786</v>
      </c>
      <c r="Q22" s="10">
        <f t="shared" ref="Q22:Q26" si="18">SUM(M22:P22)</f>
        <v>0.88303046907758653</v>
      </c>
    </row>
    <row r="23" spans="1:25" x14ac:dyDescent="0.25">
      <c r="L23" s="7" t="s">
        <v>42</v>
      </c>
      <c r="M23" s="10">
        <f t="shared" si="14"/>
        <v>0.77894294372222106</v>
      </c>
      <c r="N23" s="10">
        <f t="shared" si="15"/>
        <v>-0.63869476492034771</v>
      </c>
      <c r="O23" s="10">
        <f t="shared" si="16"/>
        <v>-0.28994112082629958</v>
      </c>
      <c r="P23" s="10">
        <f t="shared" si="17"/>
        <v>0.91892401944293978</v>
      </c>
      <c r="Q23" s="10">
        <f t="shared" si="18"/>
        <v>0.7692310774185136</v>
      </c>
      <c r="S23" t="s">
        <v>52</v>
      </c>
    </row>
    <row r="24" spans="1:25" x14ac:dyDescent="0.25">
      <c r="L24" s="7" t="s">
        <v>43</v>
      </c>
      <c r="M24" s="10">
        <f t="shared" si="14"/>
        <v>0.38947147186111053</v>
      </c>
      <c r="N24" s="10">
        <f t="shared" si="15"/>
        <v>-1.2773895298406954</v>
      </c>
      <c r="O24" s="10">
        <f t="shared" si="16"/>
        <v>-0.72485280206574898</v>
      </c>
      <c r="P24" s="10">
        <f t="shared" si="17"/>
        <v>0.41769273611042718</v>
      </c>
      <c r="Q24" s="10">
        <f t="shared" si="18"/>
        <v>-1.1950781239349066</v>
      </c>
      <c r="S24" t="s">
        <v>32</v>
      </c>
      <c r="T24" t="s">
        <v>33</v>
      </c>
      <c r="U24" t="s">
        <v>34</v>
      </c>
      <c r="V24" t="s">
        <v>35</v>
      </c>
    </row>
    <row r="25" spans="1:25" x14ac:dyDescent="0.25">
      <c r="L25" s="7" t="s">
        <v>44</v>
      </c>
      <c r="M25" s="10">
        <f t="shared" si="14"/>
        <v>-0.38947147186111053</v>
      </c>
      <c r="N25" s="10">
        <f t="shared" si="15"/>
        <v>0.63869476492034771</v>
      </c>
      <c r="O25" s="10">
        <f t="shared" si="16"/>
        <v>0.14497056041314987</v>
      </c>
      <c r="P25" s="10">
        <f t="shared" si="17"/>
        <v>-0.58476983055459786</v>
      </c>
      <c r="Q25" s="10">
        <f t="shared" si="18"/>
        <v>-0.1905759770822108</v>
      </c>
      <c r="S25" s="10">
        <f>N3</f>
        <v>-0.38947147186111053</v>
      </c>
      <c r="T25" s="10">
        <f>N4</f>
        <v>0.63869476492034771</v>
      </c>
      <c r="U25" s="10">
        <f>N5</f>
        <v>-0.43491168123944945</v>
      </c>
      <c r="V25" s="10">
        <f>N6</f>
        <v>0.50123128333251254</v>
      </c>
    </row>
    <row r="26" spans="1:25" x14ac:dyDescent="0.25">
      <c r="L26" s="7" t="s">
        <v>46</v>
      </c>
      <c r="M26" s="10">
        <f t="shared" si="14"/>
        <v>0.38947147186111053</v>
      </c>
      <c r="N26" s="10">
        <f t="shared" si="15"/>
        <v>-0.63869476492034771</v>
      </c>
      <c r="O26" s="10">
        <f t="shared" si="16"/>
        <v>-0.28994112082629958</v>
      </c>
      <c r="P26" s="10">
        <f t="shared" si="17"/>
        <v>0.91892401944293978</v>
      </c>
      <c r="Q26" s="10">
        <f t="shared" si="18"/>
        <v>0.37975960555740307</v>
      </c>
    </row>
    <row r="27" spans="1:25" x14ac:dyDescent="0.25">
      <c r="L27" s="7" t="s">
        <v>45</v>
      </c>
      <c r="M27">
        <f>SUM(M21:M26)</f>
        <v>0</v>
      </c>
      <c r="N27">
        <f t="shared" ref="N27:P27" si="19">SUM(N21:N26)</f>
        <v>0</v>
      </c>
      <c r="O27">
        <f t="shared" si="19"/>
        <v>4.4408920985006262E-16</v>
      </c>
      <c r="P27">
        <f t="shared" si="19"/>
        <v>0</v>
      </c>
    </row>
    <row r="28" spans="1:25" x14ac:dyDescent="0.25">
      <c r="M28" s="10" t="str">
        <f ca="1">_xlfn.FORMULATEXT(M21)</f>
        <v>=B11*$N$3</v>
      </c>
      <c r="N28" s="10" t="str">
        <f t="shared" ref="N28:P28" ca="1" si="20">_xlfn.FORMULATEXT(N21)</f>
        <v>=C11*$N$4</v>
      </c>
      <c r="O28" s="10" t="str">
        <f t="shared" ca="1" si="20"/>
        <v>=D11*$N$5</v>
      </c>
      <c r="P28" s="10" t="str">
        <f t="shared" ca="1" si="20"/>
        <v>=E11*$N$6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5945-BF84-4508-8784-D5E65C74BC73}">
  <dimension ref="A1:S9"/>
  <sheetViews>
    <sheetView workbookViewId="0">
      <selection activeCell="E1" sqref="E1"/>
    </sheetView>
  </sheetViews>
  <sheetFormatPr defaultRowHeight="15" x14ac:dyDescent="0.25"/>
  <cols>
    <col min="17" max="19" width="10.7109375" customWidth="1"/>
  </cols>
  <sheetData>
    <row r="1" spans="1:19" x14ac:dyDescent="0.25">
      <c r="R1" t="s">
        <v>66</v>
      </c>
    </row>
    <row r="2" spans="1:19" x14ac:dyDescent="0.25">
      <c r="A2" s="33" t="s">
        <v>59</v>
      </c>
      <c r="B2" t="s">
        <v>61</v>
      </c>
      <c r="F2" t="s">
        <v>60</v>
      </c>
      <c r="G2" t="s">
        <v>62</v>
      </c>
      <c r="K2" s="32" t="s">
        <v>63</v>
      </c>
      <c r="M2" t="s">
        <v>64</v>
      </c>
      <c r="Q2" t="s">
        <v>45</v>
      </c>
      <c r="S2" t="s">
        <v>65</v>
      </c>
    </row>
    <row r="3" spans="1:19" x14ac:dyDescent="0.25">
      <c r="A3" s="1">
        <f>Sheet7!H12</f>
        <v>2.4</v>
      </c>
      <c r="B3" s="1">
        <f>Sheet7!I12</f>
        <v>2</v>
      </c>
      <c r="C3" s="1">
        <f>Sheet7!J12</f>
        <v>-1.6</v>
      </c>
      <c r="D3" s="1">
        <f>Sheet7!K12</f>
        <v>-2.6</v>
      </c>
      <c r="E3" s="1"/>
      <c r="F3">
        <f>Sheet7!M3</f>
        <v>-0.51810244509786019</v>
      </c>
      <c r="G3">
        <f>Sheet7!N3</f>
        <v>-0.38947147186111053</v>
      </c>
      <c r="H3">
        <f>Sheet7!O3</f>
        <v>-0.47163134874515089</v>
      </c>
      <c r="I3">
        <f>Sheet7!P3</f>
        <v>-0.5978676273815049</v>
      </c>
      <c r="K3">
        <f>Sheet7!T2</f>
        <v>8.4148141067871141</v>
      </c>
      <c r="M3" cm="1">
        <f t="array" ref="M3:P6">MMULT(A3:D6,F3:I6)</f>
        <v>-4.3597357637703684</v>
      </c>
      <c r="N3">
        <v>-0.26468464930738334</v>
      </c>
      <c r="O3">
        <v>-4.0288815507071529E-2</v>
      </c>
      <c r="P3">
        <v>-3.1983087212802408E-2</v>
      </c>
      <c r="Q3" s="34">
        <f>SUM(M3:P3)</f>
        <v>-4.6966923157976268</v>
      </c>
      <c r="S3" s="34" cm="1">
        <f t="array" ref="S3:S6">MMULT(F3:I6,K3:K6)</f>
        <v>-4.6966923157976259</v>
      </c>
    </row>
    <row r="4" spans="1:19" x14ac:dyDescent="0.25">
      <c r="A4" s="1">
        <f>Sheet7!H13</f>
        <v>2</v>
      </c>
      <c r="B4" s="1">
        <f>Sheet7!I13</f>
        <v>2.4</v>
      </c>
      <c r="C4" s="1">
        <f>Sheet7!J13</f>
        <v>-1.8</v>
      </c>
      <c r="D4" s="1">
        <f>Sheet7!K13</f>
        <v>-2.2000000000000002</v>
      </c>
      <c r="E4" s="1"/>
      <c r="F4">
        <f>Sheet7!M4</f>
        <v>-0.49925617556474255</v>
      </c>
      <c r="G4">
        <f>Sheet7!N4</f>
        <v>0.63869476492034771</v>
      </c>
      <c r="H4">
        <f>Sheet7!O4</f>
        <v>0.46763672711038884</v>
      </c>
      <c r="I4">
        <f>Sheet7!P4</f>
        <v>-0.35231826504070574</v>
      </c>
      <c r="K4">
        <f>Sheet7!T3</f>
        <v>0.67959958156260625</v>
      </c>
      <c r="M4">
        <v>-4.2011479090427795</v>
      </c>
      <c r="N4">
        <v>0.43405669498609489</v>
      </c>
      <c r="O4">
        <v>3.9947577430993864E-2</v>
      </c>
      <c r="P4">
        <v>-1.8847358982809093E-2</v>
      </c>
      <c r="Q4" s="34">
        <f t="shared" ref="Q4:Q6" si="0">SUM(M4:P4)</f>
        <v>-3.7459909956084996</v>
      </c>
      <c r="S4" s="34">
        <v>-3.7459909956084996</v>
      </c>
    </row>
    <row r="5" spans="1:19" x14ac:dyDescent="0.25">
      <c r="A5" s="1">
        <f>Sheet7!H14</f>
        <v>-1.6</v>
      </c>
      <c r="B5" s="1">
        <f>Sheet7!I14</f>
        <v>-1.8</v>
      </c>
      <c r="C5" s="1">
        <f>Sheet7!J14</f>
        <v>1.466666666666667</v>
      </c>
      <c r="D5" s="1">
        <f>Sheet7!K14</f>
        <v>1.7333333333333332</v>
      </c>
      <c r="E5" s="1"/>
      <c r="F5">
        <f>Sheet7!M5</f>
        <v>0.39170923774579092</v>
      </c>
      <c r="G5">
        <f>Sheet7!N5</f>
        <v>-0.43491168123944945</v>
      </c>
      <c r="H5">
        <f>Sheet7!O5</f>
        <v>0.60834740547119448</v>
      </c>
      <c r="I5">
        <f>Sheet7!P5</f>
        <v>-0.53603091034244732</v>
      </c>
      <c r="K5">
        <f>Sheet7!T4</f>
        <v>8.5424379898125846E-2</v>
      </c>
      <c r="M5">
        <v>3.296160419542109</v>
      </c>
      <c r="N5">
        <v>-0.29556579658701998</v>
      </c>
      <c r="O5">
        <v>5.1967699875011153E-2</v>
      </c>
      <c r="P5">
        <v>-2.8675115642781579E-2</v>
      </c>
      <c r="Q5" s="34">
        <f t="shared" si="0"/>
        <v>3.0238872071873182</v>
      </c>
      <c r="S5" s="34">
        <v>3.0238872071873195</v>
      </c>
    </row>
    <row r="6" spans="1:19" x14ac:dyDescent="0.25">
      <c r="A6" s="1">
        <f>Sheet7!H15</f>
        <v>-2.6</v>
      </c>
      <c r="B6" s="1">
        <f>Sheet7!I15</f>
        <v>-2.2000000000000002</v>
      </c>
      <c r="C6" s="1">
        <f>Sheet7!J15</f>
        <v>1.7333333333333332</v>
      </c>
      <c r="D6" s="1">
        <f>Sheet7!K15</f>
        <v>2.9666666666666663</v>
      </c>
      <c r="E6" s="1"/>
      <c r="F6">
        <f>Sheet7!M6</f>
        <v>0.57347798615875156</v>
      </c>
      <c r="G6">
        <f>Sheet7!N6</f>
        <v>0.50123128333251254</v>
      </c>
      <c r="H6">
        <f>Sheet7!O6</f>
        <v>-0.4345033907747784</v>
      </c>
      <c r="I6">
        <f>Sheet7!P6</f>
        <v>-0.48072549693704048</v>
      </c>
      <c r="K6">
        <f>Sheet7!T5</f>
        <v>5.3495265085481303E-2</v>
      </c>
      <c r="M6">
        <v>4.8257106478605376</v>
      </c>
      <c r="N6">
        <v>0.34063657041886386</v>
      </c>
      <c r="O6">
        <v>-3.711718272056852E-2</v>
      </c>
      <c r="P6">
        <v>-2.5716537891996349E-2</v>
      </c>
      <c r="Q6" s="34">
        <f t="shared" si="0"/>
        <v>5.103513497666837</v>
      </c>
      <c r="S6" s="34">
        <v>5.1035134976668255</v>
      </c>
    </row>
    <row r="7" spans="1:19" x14ac:dyDescent="0.25">
      <c r="A7" s="1"/>
      <c r="B7" s="1"/>
      <c r="C7" s="1"/>
      <c r="D7" s="1"/>
      <c r="E7" s="1"/>
      <c r="M7" t="str">
        <f ca="1">_xlfn.FORMULATEXT(M3)</f>
        <v>=MMULT(A3:D6,F3:I6)</v>
      </c>
      <c r="Q7" t="str">
        <f ca="1">_xlfn.FORMULATEXT(Q3)</f>
        <v>=SUM(M3:P3)</v>
      </c>
      <c r="S7" t="str">
        <f ca="1">_xlfn.FORMULATEXT(S3)</f>
        <v>=MMULT(F3:I6,K3:K6)</v>
      </c>
    </row>
    <row r="8" spans="1:19" x14ac:dyDescent="0.25">
      <c r="A8" s="1"/>
      <c r="B8" s="1"/>
      <c r="C8" s="1"/>
      <c r="D8" s="1"/>
      <c r="E8" s="1"/>
    </row>
    <row r="9" spans="1:19" x14ac:dyDescent="0.25">
      <c r="A9" s="1"/>
      <c r="B9" s="1"/>
      <c r="C9" s="1"/>
      <c r="D9" s="1"/>
      <c r="E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F2DC-F050-4B4B-A001-96009B9A2C92}">
  <dimension ref="A1:Y28"/>
  <sheetViews>
    <sheetView workbookViewId="0">
      <selection activeCell="F1" sqref="F1"/>
    </sheetView>
  </sheetViews>
  <sheetFormatPr defaultRowHeight="15" x14ac:dyDescent="0.25"/>
  <cols>
    <col min="13" max="16" width="11" customWidth="1"/>
    <col min="18" max="18" width="12.7109375" bestFit="1" customWidth="1"/>
  </cols>
  <sheetData>
    <row r="1" spans="1:25" ht="15.75" thickBot="1" x14ac:dyDescent="0.3">
      <c r="B1" t="s">
        <v>32</v>
      </c>
      <c r="C1" t="s">
        <v>33</v>
      </c>
      <c r="D1" t="s">
        <v>34</v>
      </c>
      <c r="E1" t="s">
        <v>35</v>
      </c>
      <c r="G1" t="s">
        <v>69</v>
      </c>
      <c r="M1" s="7" t="s">
        <v>32</v>
      </c>
      <c r="N1" s="7" t="s">
        <v>33</v>
      </c>
      <c r="O1" s="7" t="s">
        <v>34</v>
      </c>
      <c r="P1" s="7" t="s">
        <v>35</v>
      </c>
      <c r="T1" t="s">
        <v>36</v>
      </c>
      <c r="V1" t="s">
        <v>37</v>
      </c>
    </row>
    <row r="2" spans="1:25" ht="15.75" thickBot="1" x14ac:dyDescent="0.3">
      <c r="A2" t="s">
        <v>38</v>
      </c>
      <c r="B2">
        <v>5</v>
      </c>
      <c r="C2">
        <v>4</v>
      </c>
      <c r="D2">
        <v>2</v>
      </c>
      <c r="E2">
        <v>1</v>
      </c>
      <c r="G2" s="3"/>
      <c r="H2" s="3" t="s">
        <v>0</v>
      </c>
      <c r="I2" s="3" t="s">
        <v>1</v>
      </c>
      <c r="J2" s="3" t="s">
        <v>2</v>
      </c>
      <c r="K2" s="3" t="s">
        <v>3</v>
      </c>
      <c r="M2" s="35" cm="1">
        <f t="array" ref="M2:P8">[1]!eigVECTSym(_xlfn.ANCHORARRAY(H12))</f>
        <v>3.6377623911311927</v>
      </c>
      <c r="N2" s="35">
        <v>0.29683287478026632</v>
      </c>
      <c r="O2" s="35">
        <v>4.2889677449110895E-2</v>
      </c>
      <c r="P2" s="35">
        <v>2.2515056639427853E-2</v>
      </c>
      <c r="Q2" t="s">
        <v>39</v>
      </c>
      <c r="T2" s="10">
        <f>M2</f>
        <v>3.6377623911311927</v>
      </c>
      <c r="U2" s="10">
        <f>T2/$T$6</f>
        <v>0.90944059778279873</v>
      </c>
      <c r="V2" s="10">
        <f>U2</f>
        <v>0.90944059778279873</v>
      </c>
    </row>
    <row r="3" spans="1:25" x14ac:dyDescent="0.25">
      <c r="A3" t="s">
        <v>40</v>
      </c>
      <c r="B3">
        <v>4</v>
      </c>
      <c r="C3">
        <v>5</v>
      </c>
      <c r="D3">
        <v>2</v>
      </c>
      <c r="E3">
        <v>2</v>
      </c>
      <c r="G3" t="s">
        <v>0</v>
      </c>
      <c r="H3">
        <v>1</v>
      </c>
      <c r="L3" s="7"/>
      <c r="M3" s="25">
        <v>-0.5032371830755642</v>
      </c>
      <c r="N3" s="26">
        <v>-0.47048671213652926</v>
      </c>
      <c r="O3" s="26">
        <v>-0.24365874904384599</v>
      </c>
      <c r="P3" s="27">
        <v>-0.68266024147266768</v>
      </c>
      <c r="Q3" t="s">
        <v>41</v>
      </c>
      <c r="T3" s="10">
        <f>N2</f>
        <v>0.29683287478026632</v>
      </c>
      <c r="U3" s="10">
        <f>T3/$T$6</f>
        <v>7.4208218695066636E-2</v>
      </c>
      <c r="V3" s="10">
        <f>U3+V2</f>
        <v>0.9836488164778654</v>
      </c>
    </row>
    <row r="4" spans="1:25" x14ac:dyDescent="0.25">
      <c r="A4" t="s">
        <v>42</v>
      </c>
      <c r="B4">
        <v>1</v>
      </c>
      <c r="C4">
        <v>2</v>
      </c>
      <c r="D4">
        <v>4</v>
      </c>
      <c r="E4">
        <v>5</v>
      </c>
      <c r="G4" t="s">
        <v>1</v>
      </c>
      <c r="H4">
        <v>0.83333333333333315</v>
      </c>
      <c r="I4">
        <v>1</v>
      </c>
      <c r="L4" s="7"/>
      <c r="M4" s="28">
        <v>-0.49706368677524959</v>
      </c>
      <c r="N4" s="10">
        <v>0.52494067347369466</v>
      </c>
      <c r="O4" s="10">
        <v>0.65216346299897909</v>
      </c>
      <c r="P4" s="29">
        <v>-0.22813986532729505</v>
      </c>
      <c r="T4" s="10">
        <f>O2</f>
        <v>4.2889677449110895E-2</v>
      </c>
      <c r="U4" s="10">
        <f>T4/$T$6</f>
        <v>1.0722419362277731E-2</v>
      </c>
      <c r="V4" s="10">
        <f t="shared" ref="V4:V5" si="0">U4+V3</f>
        <v>0.99437123584014309</v>
      </c>
    </row>
    <row r="5" spans="1:25" x14ac:dyDescent="0.25">
      <c r="A5" t="s">
        <v>43</v>
      </c>
      <c r="B5">
        <v>2</v>
      </c>
      <c r="C5">
        <v>1</v>
      </c>
      <c r="D5">
        <v>5</v>
      </c>
      <c r="E5">
        <v>4</v>
      </c>
      <c r="G5" t="s">
        <v>2</v>
      </c>
      <c r="H5">
        <v>-0.85280286542244155</v>
      </c>
      <c r="I5">
        <v>-0.95940322360024655</v>
      </c>
      <c r="J5">
        <v>1</v>
      </c>
      <c r="L5" s="7"/>
      <c r="M5" s="28">
        <v>0.50068616032788027</v>
      </c>
      <c r="N5" s="10">
        <v>-0.47589397007768114</v>
      </c>
      <c r="O5" s="10">
        <v>0.66700648915363181</v>
      </c>
      <c r="P5" s="29">
        <v>-0.27917851193594512</v>
      </c>
      <c r="T5" s="10">
        <f>P2</f>
        <v>2.2515056639427853E-2</v>
      </c>
      <c r="U5" s="10">
        <f>T5/$T$6</f>
        <v>5.6287641598569667E-3</v>
      </c>
      <c r="V5">
        <f t="shared" si="0"/>
        <v>1</v>
      </c>
    </row>
    <row r="6" spans="1:25" ht="15.75" thickBot="1" x14ac:dyDescent="0.3">
      <c r="A6" t="s">
        <v>44</v>
      </c>
      <c r="B6">
        <v>4</v>
      </c>
      <c r="C6">
        <v>4</v>
      </c>
      <c r="D6">
        <v>3</v>
      </c>
      <c r="E6">
        <v>2</v>
      </c>
      <c r="G6" s="5" t="s">
        <v>3</v>
      </c>
      <c r="H6" s="5">
        <v>-0.99999999999999978</v>
      </c>
      <c r="I6" s="5">
        <v>-0.83333333333333315</v>
      </c>
      <c r="J6" s="5">
        <v>0.85280286542244155</v>
      </c>
      <c r="K6" s="5">
        <v>1</v>
      </c>
      <c r="L6" s="7"/>
      <c r="M6" s="30">
        <v>0.49899238242250915</v>
      </c>
      <c r="N6" s="11">
        <v>0.52593200347539737</v>
      </c>
      <c r="O6" s="11">
        <v>-0.2653593317946687</v>
      </c>
      <c r="P6" s="31">
        <v>-0.63559936676664053</v>
      </c>
      <c r="S6" t="s">
        <v>45</v>
      </c>
      <c r="T6" s="10">
        <f>SUM(T2:T5)</f>
        <v>3.9999999999999973</v>
      </c>
      <c r="U6">
        <f>SUM(U2:U5)</f>
        <v>1</v>
      </c>
    </row>
    <row r="7" spans="1:25" x14ac:dyDescent="0.25">
      <c r="A7" t="s">
        <v>46</v>
      </c>
      <c r="B7">
        <v>2</v>
      </c>
      <c r="C7">
        <v>2</v>
      </c>
      <c r="D7">
        <v>4</v>
      </c>
      <c r="E7">
        <v>5</v>
      </c>
      <c r="M7" s="10">
        <v>-6.5035777721102325E-14</v>
      </c>
      <c r="N7" s="10">
        <v>1.0700380628294708E-17</v>
      </c>
      <c r="O7" s="10">
        <v>-4.3973905709259004E-19</v>
      </c>
      <c r="P7" s="10">
        <v>4.9207754099215529E-18</v>
      </c>
    </row>
    <row r="8" spans="1:25" x14ac:dyDescent="0.25">
      <c r="A8" t="s">
        <v>24</v>
      </c>
      <c r="B8" s="1">
        <f>AVERAGE(B2:B7)</f>
        <v>3</v>
      </c>
      <c r="C8">
        <f t="shared" ref="C8:E8" si="1">AVERAGE(C2:C7)</f>
        <v>3</v>
      </c>
      <c r="D8" s="1">
        <f t="shared" si="1"/>
        <v>3.3333333333333335</v>
      </c>
      <c r="E8" s="1">
        <f t="shared" si="1"/>
        <v>3.1666666666666665</v>
      </c>
      <c r="M8" s="10">
        <v>2.886579864025407E-15</v>
      </c>
      <c r="N8" s="10">
        <v>2.2204460492503131E-16</v>
      </c>
      <c r="O8" s="10">
        <v>2.2204460492503131E-16</v>
      </c>
      <c r="P8" s="10">
        <v>2.2204460492503131E-16</v>
      </c>
    </row>
    <row r="9" spans="1:25" x14ac:dyDescent="0.25">
      <c r="M9" t="str">
        <f ca="1">_xlfn.FORMULATEXT(M2)</f>
        <v>=eigVECTSym(H12#)</v>
      </c>
    </row>
    <row r="10" spans="1:25" ht="15.75" thickBot="1" x14ac:dyDescent="0.3">
      <c r="A10" t="s">
        <v>67</v>
      </c>
      <c r="G10" t="s">
        <v>68</v>
      </c>
      <c r="M10" t="s">
        <v>47</v>
      </c>
      <c r="Q10" t="s">
        <v>48</v>
      </c>
    </row>
    <row r="11" spans="1:25" x14ac:dyDescent="0.25">
      <c r="B11" s="1" cm="1">
        <f t="array" ref="B11:B16">(B2:B7-AVERAGE(B$2:B$7))/_xlfn.STDEV.S(B$2:B$7)</f>
        <v>1.2909944487358056</v>
      </c>
      <c r="C11" s="1" cm="1">
        <f t="array" ref="C11:C16">(C2:C7-AVERAGE(C$2:C$7))/_xlfn.STDEV.S(C$2:C$7)</f>
        <v>0.6454972243679028</v>
      </c>
      <c r="D11" s="1" cm="1">
        <f t="array" ref="D11:D16">(D2:D7-AVERAGE(D$2:D$7))/_xlfn.STDEV.S(D$2:D$7)</f>
        <v>-1.1009637651263611</v>
      </c>
      <c r="E11" s="1" cm="1">
        <f t="array" ref="E11:E16">(E2:E7-AVERAGE(E$2:E$7))/_xlfn.STDEV.S(E$2:E$7)</f>
        <v>-1.257933624538798</v>
      </c>
      <c r="G11" s="3"/>
      <c r="H11" s="3" t="s">
        <v>0</v>
      </c>
      <c r="I11" s="3" t="s">
        <v>1</v>
      </c>
      <c r="J11" s="3" t="s">
        <v>2</v>
      </c>
      <c r="K11" s="3" t="s">
        <v>3</v>
      </c>
      <c r="L11" s="7" t="s">
        <v>38</v>
      </c>
      <c r="M11" s="10">
        <f>B11*$M$3</f>
        <v>-0.64967640974799767</v>
      </c>
      <c r="N11" s="10">
        <f>C11*$M$4</f>
        <v>-0.32085323014750022</v>
      </c>
      <c r="O11" s="10">
        <f>D11*$M$5</f>
        <v>-0.55123732022124394</v>
      </c>
      <c r="P11" s="10">
        <f>E11*$M$6</f>
        <v>-0.62769929623799692</v>
      </c>
      <c r="Q11" s="10">
        <f>SUM(M11:P11)</f>
        <v>-2.1494662563547386</v>
      </c>
      <c r="R11" t="s">
        <v>45</v>
      </c>
    </row>
    <row r="12" spans="1:25" x14ac:dyDescent="0.25">
      <c r="B12" s="1">
        <v>0.6454972243679028</v>
      </c>
      <c r="C12" s="1">
        <v>1.2909944487358056</v>
      </c>
      <c r="D12" s="1">
        <v>-1.1009637651263611</v>
      </c>
      <c r="E12" s="1">
        <v>-0.6773488747516605</v>
      </c>
      <c r="G12" t="s">
        <v>0</v>
      </c>
      <c r="H12" cm="1">
        <f t="array" ref="H12:K15">[1]!CORR(B11:E16)</f>
        <v>0.99999999999999978</v>
      </c>
      <c r="I12">
        <v>0.83333333333333315</v>
      </c>
      <c r="J12">
        <v>-0.85280286542244155</v>
      </c>
      <c r="K12">
        <v>-0.97439119569461963</v>
      </c>
      <c r="L12" s="7" t="s">
        <v>40</v>
      </c>
      <c r="M12" s="10">
        <f t="shared" ref="M12:M16" si="2">B12*$M$3</f>
        <v>-0.32483820487399884</v>
      </c>
      <c r="N12" s="10">
        <f>C12*$M$4</f>
        <v>-0.64170646029500045</v>
      </c>
      <c r="O12" s="10">
        <f t="shared" ref="O12:O16" si="3">D12*$M$5</f>
        <v>-0.55123732022124394</v>
      </c>
      <c r="P12" s="10">
        <f t="shared" ref="P12:P16" si="4">E12*$M$6</f>
        <v>-0.33799192874353684</v>
      </c>
      <c r="Q12" s="10">
        <f t="shared" ref="Q12:Q16" si="5">SUM(M12:P12)</f>
        <v>-1.8557739141337801</v>
      </c>
    </row>
    <row r="13" spans="1:25" x14ac:dyDescent="0.25">
      <c r="B13" s="1">
        <v>-1.2909944487358056</v>
      </c>
      <c r="C13" s="1">
        <v>-0.6454972243679028</v>
      </c>
      <c r="D13" s="1">
        <v>0.55048188256318031</v>
      </c>
      <c r="E13" s="1">
        <v>1.0644053746097524</v>
      </c>
      <c r="G13" t="s">
        <v>1</v>
      </c>
      <c r="H13">
        <v>0.83333333333333315</v>
      </c>
      <c r="I13">
        <v>0.99999999999999978</v>
      </c>
      <c r="J13">
        <v>-0.95940322360024688</v>
      </c>
      <c r="K13">
        <v>-0.82448485789544734</v>
      </c>
      <c r="L13" s="7" t="s">
        <v>42</v>
      </c>
      <c r="M13" s="10">
        <f t="shared" si="2"/>
        <v>0.64967640974799767</v>
      </c>
      <c r="N13" s="10">
        <f t="shared" ref="N13:N16" si="6">C13*$M$4</f>
        <v>0.32085323014750022</v>
      </c>
      <c r="O13" s="10">
        <f t="shared" si="3"/>
        <v>0.27561866011062186</v>
      </c>
      <c r="P13" s="10">
        <f t="shared" si="4"/>
        <v>0.53113017373984361</v>
      </c>
      <c r="Q13" s="10">
        <f t="shared" si="5"/>
        <v>1.7772784737459633</v>
      </c>
      <c r="S13" t="s">
        <v>49</v>
      </c>
      <c r="X13" t="str">
        <f t="shared" ref="X13:X19" si="7">Q10</f>
        <v>PC1 score</v>
      </c>
      <c r="Y13" t="str">
        <f>Q20</f>
        <v>PC2 score</v>
      </c>
    </row>
    <row r="14" spans="1:25" x14ac:dyDescent="0.25">
      <c r="B14" s="1">
        <v>-0.6454972243679028</v>
      </c>
      <c r="C14" s="1">
        <v>-1.2909944487358056</v>
      </c>
      <c r="D14" s="1">
        <v>1.376204706407951</v>
      </c>
      <c r="E14" s="1">
        <v>0.48382062482261473</v>
      </c>
      <c r="G14" t="s">
        <v>2</v>
      </c>
      <c r="H14">
        <v>-0.85280286542244155</v>
      </c>
      <c r="I14">
        <v>-0.95940322360024688</v>
      </c>
      <c r="J14">
        <v>1</v>
      </c>
      <c r="K14">
        <v>0.83096360373077105</v>
      </c>
      <c r="L14" s="7" t="s">
        <v>43</v>
      </c>
      <c r="M14" s="10">
        <f t="shared" si="2"/>
        <v>0.32483820487399884</v>
      </c>
      <c r="N14" s="10">
        <f t="shared" si="6"/>
        <v>0.64170646029500045</v>
      </c>
      <c r="O14" s="10">
        <f t="shared" si="3"/>
        <v>0.68904665027655476</v>
      </c>
      <c r="P14" s="10">
        <f t="shared" si="4"/>
        <v>0.24142280624538348</v>
      </c>
      <c r="Q14" s="10">
        <f t="shared" si="5"/>
        <v>1.8970141216909373</v>
      </c>
      <c r="S14" t="s">
        <v>32</v>
      </c>
      <c r="T14" t="s">
        <v>33</v>
      </c>
      <c r="U14" t="s">
        <v>34</v>
      </c>
      <c r="V14" t="s">
        <v>35</v>
      </c>
      <c r="X14" s="1">
        <f t="shared" si="7"/>
        <v>-2.1494662563547386</v>
      </c>
      <c r="Y14" s="1">
        <f t="shared" ref="Y14:Y19" si="8">Q21</f>
        <v>-0.40619352018223537</v>
      </c>
    </row>
    <row r="15" spans="1:25" ht="15.75" thickBot="1" x14ac:dyDescent="0.3">
      <c r="B15" s="1">
        <v>0.6454972243679028</v>
      </c>
      <c r="C15" s="1">
        <v>0.6454972243679028</v>
      </c>
      <c r="D15" s="1">
        <v>-0.27524094128159032</v>
      </c>
      <c r="E15" s="1">
        <v>-0.6773488747516605</v>
      </c>
      <c r="G15" s="5" t="s">
        <v>3</v>
      </c>
      <c r="H15" s="5">
        <v>-0.97439119569461963</v>
      </c>
      <c r="I15" s="5">
        <v>-0.82448485789544734</v>
      </c>
      <c r="J15" s="5">
        <v>0.83096360373077105</v>
      </c>
      <c r="K15" s="5">
        <v>0.99999999999999978</v>
      </c>
      <c r="L15" s="7" t="s">
        <v>44</v>
      </c>
      <c r="M15" s="10">
        <f t="shared" si="2"/>
        <v>-0.32483820487399884</v>
      </c>
      <c r="N15" s="10">
        <f t="shared" si="6"/>
        <v>-0.32085323014750022</v>
      </c>
      <c r="O15" s="10">
        <f t="shared" si="3"/>
        <v>-0.13780933005531101</v>
      </c>
      <c r="P15" s="10">
        <f t="shared" si="4"/>
        <v>-0.33799192874353684</v>
      </c>
      <c r="Q15" s="10">
        <f t="shared" si="5"/>
        <v>-1.1214926938203469</v>
      </c>
      <c r="S15" s="10">
        <f>M3</f>
        <v>-0.5032371830755642</v>
      </c>
      <c r="T15" s="10">
        <f>M4</f>
        <v>-0.49706368677524959</v>
      </c>
      <c r="U15" s="10">
        <f>M5</f>
        <v>0.50068616032788027</v>
      </c>
      <c r="V15" s="10">
        <f>M6</f>
        <v>0.49899238242250915</v>
      </c>
      <c r="X15" s="1">
        <f t="shared" si="7"/>
        <v>-1.8557739141337801</v>
      </c>
      <c r="Y15" s="1">
        <f t="shared" si="8"/>
        <v>0.54170019493177368</v>
      </c>
    </row>
    <row r="16" spans="1:25" x14ac:dyDescent="0.25">
      <c r="B16" s="1">
        <v>-0.6454972243679028</v>
      </c>
      <c r="C16" s="1">
        <v>-0.6454972243679028</v>
      </c>
      <c r="D16" s="1">
        <v>0.55048188256318031</v>
      </c>
      <c r="E16" s="1">
        <v>1.0644053746097524</v>
      </c>
      <c r="L16" s="7" t="s">
        <v>46</v>
      </c>
      <c r="M16" s="10">
        <f t="shared" si="2"/>
        <v>0.32483820487399884</v>
      </c>
      <c r="N16" s="10">
        <f t="shared" si="6"/>
        <v>0.32085323014750022</v>
      </c>
      <c r="O16" s="10">
        <f t="shared" si="3"/>
        <v>0.27561866011062186</v>
      </c>
      <c r="P16" s="10">
        <f t="shared" si="4"/>
        <v>0.53113017373984361</v>
      </c>
      <c r="Q16" s="10">
        <f t="shared" si="5"/>
        <v>1.4524402688719644</v>
      </c>
      <c r="X16" s="1">
        <f t="shared" si="7"/>
        <v>1.7772784737459633</v>
      </c>
      <c r="Y16" s="1">
        <f t="shared" si="8"/>
        <v>0.56638182851679297</v>
      </c>
    </row>
    <row r="17" spans="1:25" x14ac:dyDescent="0.25">
      <c r="A17" t="s">
        <v>24</v>
      </c>
      <c r="B17">
        <f>AVERAGE(B11:B16)</f>
        <v>0</v>
      </c>
      <c r="C17" s="1">
        <f t="shared" ref="C17:E17" si="9">AVERAGE(C11:C16)</f>
        <v>0</v>
      </c>
      <c r="D17">
        <f t="shared" si="9"/>
        <v>-1.4802973661668753E-16</v>
      </c>
      <c r="E17">
        <f t="shared" si="9"/>
        <v>0</v>
      </c>
      <c r="L17" s="7" t="s">
        <v>45</v>
      </c>
      <c r="M17">
        <f>SUM(M11:M16)</f>
        <v>0</v>
      </c>
      <c r="N17">
        <f t="shared" ref="N17:P17" si="10">SUM(N11:N16)</f>
        <v>0</v>
      </c>
      <c r="O17">
        <f t="shared" si="10"/>
        <v>-4.4408920985006262E-16</v>
      </c>
      <c r="P17">
        <f t="shared" si="10"/>
        <v>0</v>
      </c>
      <c r="X17" s="1">
        <f t="shared" si="7"/>
        <v>1.8970141216909373</v>
      </c>
      <c r="Y17" s="1">
        <f t="shared" si="8"/>
        <v>-0.77446839942045798</v>
      </c>
    </row>
    <row r="18" spans="1:25" x14ac:dyDescent="0.25">
      <c r="L18" s="7"/>
      <c r="M18" s="10" t="str">
        <f ca="1">_xlfn.FORMULATEXT(M11)</f>
        <v>=B11*$M$3</v>
      </c>
      <c r="N18" s="10" t="str">
        <f t="shared" ref="N18:P18" ca="1" si="11">_xlfn.FORMULATEXT(N11)</f>
        <v>=C11*$M$4</v>
      </c>
      <c r="O18" s="10" t="str">
        <f t="shared" ca="1" si="11"/>
        <v>=D11*$M$5</v>
      </c>
      <c r="P18" s="10" t="str">
        <f t="shared" ca="1" si="11"/>
        <v>=E11*$M$6</v>
      </c>
      <c r="X18" s="1">
        <f t="shared" si="7"/>
        <v>-1.1214926938203469</v>
      </c>
      <c r="Y18" s="1">
        <f t="shared" si="8"/>
        <v>-0.19010406557655549</v>
      </c>
    </row>
    <row r="19" spans="1:25" x14ac:dyDescent="0.25">
      <c r="X19" s="1">
        <f t="shared" si="7"/>
        <v>1.4524402688719644</v>
      </c>
      <c r="Y19" s="1">
        <f t="shared" si="8"/>
        <v>0.26268396173068281</v>
      </c>
    </row>
    <row r="20" spans="1:25" x14ac:dyDescent="0.25">
      <c r="M20" t="s">
        <v>50</v>
      </c>
      <c r="Q20" t="s">
        <v>51</v>
      </c>
    </row>
    <row r="21" spans="1:25" x14ac:dyDescent="0.25">
      <c r="L21" s="7" t="s">
        <v>38</v>
      </c>
      <c r="M21" s="10">
        <f t="shared" ref="M21:M26" si="12">B11*$N$3</f>
        <v>-0.60739573357222021</v>
      </c>
      <c r="N21" s="10">
        <f t="shared" ref="N21:N26" si="13">C11*$N$4</f>
        <v>0.33884774768508746</v>
      </c>
      <c r="O21" s="10">
        <f t="shared" ref="O21:O26" si="14">D11*$N$5</f>
        <v>0.52394201709765564</v>
      </c>
      <c r="P21" s="10">
        <f t="shared" ref="P21:P26" si="15">E11*$N$6</f>
        <v>-0.66158755139275827</v>
      </c>
      <c r="Q21" s="10">
        <f>SUM(M21:P21)</f>
        <v>-0.40619352018223537</v>
      </c>
      <c r="R21" t="s">
        <v>45</v>
      </c>
    </row>
    <row r="22" spans="1:25" x14ac:dyDescent="0.25">
      <c r="L22" s="7" t="s">
        <v>40</v>
      </c>
      <c r="M22" s="10">
        <f t="shared" si="12"/>
        <v>-0.3036978667861101</v>
      </c>
      <c r="N22" s="10">
        <f t="shared" si="13"/>
        <v>0.67769549537017493</v>
      </c>
      <c r="O22" s="10">
        <f t="shared" si="14"/>
        <v>0.52394201709765564</v>
      </c>
      <c r="P22" s="10">
        <f t="shared" si="15"/>
        <v>-0.35623945074994678</v>
      </c>
      <c r="Q22" s="10">
        <f t="shared" ref="Q22:Q26" si="16">SUM(M22:P22)</f>
        <v>0.54170019493177368</v>
      </c>
    </row>
    <row r="23" spans="1:25" x14ac:dyDescent="0.25">
      <c r="L23" s="7" t="s">
        <v>42</v>
      </c>
      <c r="M23" s="10">
        <f t="shared" si="12"/>
        <v>0.60739573357222021</v>
      </c>
      <c r="N23" s="10">
        <f t="shared" si="13"/>
        <v>-0.33884774768508746</v>
      </c>
      <c r="O23" s="10">
        <f t="shared" si="14"/>
        <v>-0.26197100854882771</v>
      </c>
      <c r="P23" s="10">
        <f t="shared" si="15"/>
        <v>0.55980485117848788</v>
      </c>
      <c r="Q23" s="10">
        <f t="shared" si="16"/>
        <v>0.56638182851679297</v>
      </c>
      <c r="S23" t="s">
        <v>52</v>
      </c>
    </row>
    <row r="24" spans="1:25" x14ac:dyDescent="0.25">
      <c r="L24" s="7" t="s">
        <v>43</v>
      </c>
      <c r="M24" s="10">
        <f t="shared" si="12"/>
        <v>0.3036978667861101</v>
      </c>
      <c r="N24" s="10">
        <f t="shared" si="13"/>
        <v>-0.67769549537017493</v>
      </c>
      <c r="O24" s="10">
        <f t="shared" si="14"/>
        <v>-0.65492752137206944</v>
      </c>
      <c r="P24" s="10">
        <f t="shared" si="15"/>
        <v>0.25445675053567635</v>
      </c>
      <c r="Q24" s="10">
        <f t="shared" si="16"/>
        <v>-0.77446839942045798</v>
      </c>
      <c r="S24" t="s">
        <v>32</v>
      </c>
      <c r="T24" t="s">
        <v>33</v>
      </c>
      <c r="U24" t="s">
        <v>34</v>
      </c>
      <c r="V24" t="s">
        <v>35</v>
      </c>
    </row>
    <row r="25" spans="1:25" x14ac:dyDescent="0.25">
      <c r="L25" s="7" t="s">
        <v>44</v>
      </c>
      <c r="M25" s="10">
        <f t="shared" si="12"/>
        <v>-0.3036978667861101</v>
      </c>
      <c r="N25" s="10">
        <f t="shared" si="13"/>
        <v>0.33884774768508746</v>
      </c>
      <c r="O25" s="10">
        <f t="shared" si="14"/>
        <v>0.13098550427441394</v>
      </c>
      <c r="P25" s="10">
        <f t="shared" si="15"/>
        <v>-0.35623945074994678</v>
      </c>
      <c r="Q25" s="10">
        <f t="shared" si="16"/>
        <v>-0.19010406557655549</v>
      </c>
      <c r="S25" s="10">
        <f>N3</f>
        <v>-0.47048671213652926</v>
      </c>
      <c r="T25" s="10">
        <f>N4</f>
        <v>0.52494067347369466</v>
      </c>
      <c r="U25" s="10">
        <f>N5</f>
        <v>-0.47589397007768114</v>
      </c>
      <c r="V25" s="10">
        <f>N6</f>
        <v>0.52593200347539737</v>
      </c>
    </row>
    <row r="26" spans="1:25" x14ac:dyDescent="0.25">
      <c r="L26" s="7" t="s">
        <v>46</v>
      </c>
      <c r="M26" s="10">
        <f t="shared" si="12"/>
        <v>0.3036978667861101</v>
      </c>
      <c r="N26" s="10">
        <f t="shared" si="13"/>
        <v>-0.33884774768508746</v>
      </c>
      <c r="O26" s="10">
        <f t="shared" si="14"/>
        <v>-0.26197100854882771</v>
      </c>
      <c r="P26" s="10">
        <f t="shared" si="15"/>
        <v>0.55980485117848788</v>
      </c>
      <c r="Q26" s="10">
        <f t="shared" si="16"/>
        <v>0.26268396173068281</v>
      </c>
    </row>
    <row r="27" spans="1:25" x14ac:dyDescent="0.25">
      <c r="L27" s="7" t="s">
        <v>45</v>
      </c>
      <c r="M27">
        <f>SUM(M21:M26)</f>
        <v>0</v>
      </c>
      <c r="N27">
        <f t="shared" ref="N27:P27" si="17">SUM(N21:N26)</f>
        <v>0</v>
      </c>
      <c r="O27">
        <f t="shared" si="17"/>
        <v>0</v>
      </c>
      <c r="P27">
        <f t="shared" si="17"/>
        <v>0</v>
      </c>
    </row>
    <row r="28" spans="1:25" x14ac:dyDescent="0.25">
      <c r="M28" s="10" t="str">
        <f ca="1">_xlfn.FORMULATEXT(M21)</f>
        <v>=B11*$N$3</v>
      </c>
      <c r="N28" s="10" t="str">
        <f t="shared" ref="N28:P28" ca="1" si="18">_xlfn.FORMULATEXT(N21)</f>
        <v>=C11*$N$4</v>
      </c>
      <c r="O28" s="10" t="str">
        <f t="shared" ca="1" si="18"/>
        <v>=D11*$N$5</v>
      </c>
      <c r="P28" s="10" t="str">
        <f t="shared" ca="1" si="18"/>
        <v>=E11*$N$6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Sheet7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2025-08-14T13:05:05Z</dcterms:created>
  <dcterms:modified xsi:type="dcterms:W3CDTF">2026-03-31T12:20:02Z</dcterms:modified>
</cp:coreProperties>
</file>