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drawings/drawing2.xml" ContentType="application/vnd.openxmlformats-officedocument.drawing+xml"/>
  <Override PartName="/xl/charts/chart3.xml" ContentType="application/vnd.openxmlformats-officedocument.drawingml.chart+xml"/>
  <Override PartName="/xl/charts/style3.xml" ContentType="application/vnd.ms-office.chartstyle+xml"/>
  <Override PartName="/xl/charts/colors3.xml" ContentType="application/vnd.ms-office.chartcolorstyle+xml"/>
  <Override PartName="/xl/charts/chart4.xml" ContentType="application/vnd.openxmlformats-officedocument.drawingml.chart+xml"/>
  <Override PartName="/xl/charts/style4.xml" ContentType="application/vnd.ms-office.chartstyle+xml"/>
  <Override PartName="/xl/charts/colors4.xml" ContentType="application/vnd.ms-office.chartcolorstyle+xml"/>
  <Override PartName="/xl/charts/chart5.xml" ContentType="application/vnd.openxmlformats-officedocument.drawingml.chart+xml"/>
  <Override PartName="/xl/charts/style5.xml" ContentType="application/vnd.ms-office.chartstyle+xml"/>
  <Override PartName="/xl/charts/colors5.xml" ContentType="application/vnd.ms-office.chartcolorstyle+xml"/>
  <Override PartName="/xl/persons/person.xml" ContentType="application/vnd.ms-excel.person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129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.docs.live.net/f4dd54fdcc2a60a7/Documents/Stats/Art Regression/"/>
    </mc:Choice>
  </mc:AlternateContent>
  <xr:revisionPtr revIDLastSave="0" documentId="8_{336ADCC3-08B3-4B3E-8C9B-083FA4C8779D}" xr6:coauthVersionLast="47" xr6:coauthVersionMax="47" xr10:uidLastSave="{00000000-0000-0000-0000-000000000000}"/>
  <bookViews>
    <workbookView xWindow="-28920" yWindow="-120" windowWidth="29040" windowHeight="15720" xr2:uid="{CE168D39-E5A1-4730-86A0-68DD0397E605}"/>
  </bookViews>
  <sheets>
    <sheet name="Sheet1" sheetId="4" r:id="rId1"/>
    <sheet name="Sheet2" sheetId="1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V50" i="4" l="1"/>
  <c r="V54" i="4"/>
  <c r="C27" i="4"/>
  <c r="V66" i="4" l="1"/>
  <c r="V28" i="4"/>
  <c r="V64" i="4"/>
  <c r="V58" i="4"/>
  <c r="V52" i="4"/>
  <c r="V56" i="4"/>
  <c r="V61" i="4"/>
  <c r="V49" i="4"/>
  <c r="V42" i="4" a="1"/>
  <c r="V42" i="4" s="1"/>
  <c r="B31" i="1"/>
  <c r="B30" i="1"/>
  <c r="O49" i="1"/>
  <c r="O48" i="1"/>
  <c r="O47" i="1"/>
  <c r="O46" i="1"/>
  <c r="O27" i="1"/>
  <c r="O26" i="1"/>
  <c r="O25" i="1"/>
  <c r="C27" i="1"/>
  <c r="B27" i="1"/>
  <c r="V33" i="1" a="1"/>
  <c r="V33" i="1" s="1"/>
  <c r="V31" i="1" a="1"/>
  <c r="V31" i="1" s="1"/>
  <c r="V21" i="1" a="1"/>
  <c r="V21" i="1" s="1"/>
  <c r="V11" i="1"/>
  <c r="V70" i="1"/>
  <c r="V68" i="1"/>
  <c r="V67" i="1"/>
  <c r="U67" i="1"/>
  <c r="V65" i="1"/>
  <c r="V64" i="1"/>
  <c r="U64" i="1"/>
  <c r="V62" i="1"/>
  <c r="U62" i="1"/>
  <c r="V60" i="1"/>
  <c r="U60" i="1"/>
  <c r="V58" i="1"/>
  <c r="U58" i="1"/>
  <c r="V56" i="1"/>
  <c r="U56" i="1"/>
  <c r="V54" i="1"/>
  <c r="U54" i="1"/>
  <c r="V52" i="1"/>
  <c r="U52" i="1"/>
  <c r="V50" i="1"/>
  <c r="V49" i="1"/>
  <c r="V48" i="1"/>
  <c r="U48" i="1"/>
  <c r="V46" i="1"/>
  <c r="V45" i="1"/>
  <c r="U45" i="1"/>
  <c r="V43" i="1"/>
  <c r="U43" i="1"/>
  <c r="V41" i="1"/>
  <c r="U41" i="1"/>
  <c r="V39" i="1"/>
  <c r="U39" i="1"/>
  <c r="V37" i="1"/>
  <c r="U37" i="1"/>
  <c r="V35" i="1"/>
  <c r="U35" i="1"/>
  <c r="U33" i="1"/>
  <c r="U31" i="1"/>
  <c r="V29" i="1"/>
  <c r="U29" i="1"/>
  <c r="V28" i="1"/>
  <c r="U28" i="1"/>
  <c r="U27" i="1"/>
  <c r="V25" i="1"/>
  <c r="U25" i="1"/>
  <c r="V23" i="1"/>
  <c r="V22" i="1"/>
  <c r="V20" i="1"/>
  <c r="U20" i="1"/>
  <c r="V18" i="1"/>
  <c r="V17" i="1"/>
  <c r="V16" i="1"/>
  <c r="U16" i="1"/>
  <c r="V14" i="1"/>
  <c r="V13" i="1"/>
  <c r="V12" i="1"/>
  <c r="V10" i="1"/>
  <c r="U10" i="1"/>
  <c r="V8" i="1"/>
  <c r="V7" i="1"/>
  <c r="V6" i="1"/>
  <c r="V5" i="1"/>
  <c r="V4" i="1"/>
  <c r="U4" i="1"/>
  <c r="O49" i="4"/>
  <c r="O48" i="4"/>
  <c r="O47" i="4"/>
  <c r="O46" i="4"/>
  <c r="O27" i="4"/>
  <c r="O26" i="4"/>
  <c r="O25" i="4"/>
  <c r="W38" i="4"/>
  <c r="W18" i="1"/>
  <c r="W65" i="1"/>
  <c r="P49" i="4"/>
  <c r="W42" i="4"/>
  <c r="W14" i="1"/>
  <c r="P47" i="4"/>
  <c r="W67" i="1"/>
  <c r="P27" i="1"/>
  <c r="W61" i="4"/>
  <c r="P25" i="4"/>
  <c r="W23" i="1"/>
  <c r="P48" i="1"/>
  <c r="W68" i="1"/>
  <c r="W28" i="1"/>
  <c r="W12" i="1"/>
  <c r="W31" i="1"/>
  <c r="W13" i="1"/>
  <c r="W20" i="1"/>
  <c r="W5" i="1"/>
  <c r="P27" i="4"/>
  <c r="W45" i="1"/>
  <c r="W11" i="1"/>
  <c r="W41" i="1"/>
  <c r="W64" i="4"/>
  <c r="W49" i="1"/>
  <c r="W7" i="1"/>
  <c r="W58" i="1"/>
  <c r="W25" i="1"/>
  <c r="W46" i="1"/>
  <c r="W16" i="1"/>
  <c r="W35" i="1"/>
  <c r="W39" i="1"/>
  <c r="W48" i="1"/>
  <c r="W6" i="1"/>
  <c r="P26" i="1"/>
  <c r="W56" i="1"/>
  <c r="W17" i="1"/>
  <c r="W41" i="4"/>
  <c r="W43" i="1"/>
  <c r="W50" i="1"/>
  <c r="W8" i="1"/>
  <c r="P48" i="4"/>
  <c r="P49" i="1"/>
  <c r="W29" i="1"/>
  <c r="W54" i="1"/>
  <c r="W10" i="1"/>
  <c r="P47" i="1"/>
  <c r="W37" i="1"/>
  <c r="P25" i="1"/>
  <c r="W22" i="1"/>
  <c r="P46" i="4"/>
  <c r="W33" i="1"/>
  <c r="W64" i="1"/>
  <c r="W60" i="1"/>
  <c r="W4" i="1"/>
  <c r="W21" i="1"/>
  <c r="P46" i="1"/>
  <c r="W45" i="4"/>
  <c r="W70" i="1"/>
  <c r="W52" i="1"/>
  <c r="W62" i="1"/>
  <c r="P26" i="4"/>
  <c r="V76" i="4" l="1"/>
  <c r="V70" i="4" s="1"/>
  <c r="V63" i="4"/>
  <c r="V60" i="4"/>
  <c r="V20" i="4"/>
  <c r="V25" i="4"/>
  <c r="V12" i="4"/>
  <c r="V10" i="4"/>
  <c r="V8" i="4"/>
  <c r="V7" i="4"/>
  <c r="V6" i="4"/>
  <c r="V5" i="4"/>
  <c r="V4" i="4"/>
  <c r="J1" i="4" l="1"/>
  <c r="H1" i="4"/>
  <c r="W8" i="4"/>
  <c r="W54" i="4"/>
  <c r="W76" i="4"/>
  <c r="D2" i="4" l="1"/>
  <c r="V74" i="4"/>
  <c r="V73" i="4"/>
  <c r="V71" i="4"/>
  <c r="V17" i="4"/>
  <c r="V16" i="4"/>
  <c r="U58" i="4"/>
  <c r="U56" i="4"/>
  <c r="U73" i="4"/>
  <c r="U70" i="4"/>
  <c r="U68" i="4"/>
  <c r="U66" i="4"/>
  <c r="U63" i="4"/>
  <c r="U60" i="4"/>
  <c r="U52" i="4"/>
  <c r="U49" i="4"/>
  <c r="U47" i="4"/>
  <c r="U44" i="4"/>
  <c r="U40" i="4"/>
  <c r="U37" i="4"/>
  <c r="U35" i="4"/>
  <c r="U33" i="4"/>
  <c r="U31" i="4"/>
  <c r="U29" i="4"/>
  <c r="U28" i="4"/>
  <c r="U27" i="4"/>
  <c r="U25" i="4"/>
  <c r="U20" i="4"/>
  <c r="U16" i="4"/>
  <c r="U10" i="4"/>
  <c r="U4" i="4"/>
  <c r="V68" i="4"/>
  <c r="V47" i="4"/>
  <c r="V44" i="4"/>
  <c r="V40" i="4"/>
  <c r="V37" i="4"/>
  <c r="V35" i="4"/>
  <c r="V29" i="4"/>
  <c r="V22" i="4"/>
  <c r="V23" i="4"/>
  <c r="V18" i="4"/>
  <c r="V14" i="4"/>
  <c r="V13" i="4"/>
  <c r="W68" i="4"/>
  <c r="W28" i="4"/>
  <c r="W16" i="4"/>
  <c r="W53" i="4"/>
  <c r="W33" i="4"/>
  <c r="W44" i="4"/>
  <c r="W35" i="4"/>
  <c r="W4" i="4"/>
  <c r="W13" i="4"/>
  <c r="W56" i="4"/>
  <c r="W21" i="4"/>
  <c r="W66" i="4"/>
  <c r="W49" i="4"/>
  <c r="W50" i="4"/>
  <c r="W74" i="4"/>
  <c r="W17" i="4"/>
  <c r="W37" i="4"/>
  <c r="W60" i="4"/>
  <c r="W23" i="4"/>
  <c r="W40" i="4"/>
  <c r="W20" i="4"/>
  <c r="W6" i="4"/>
  <c r="W18" i="4"/>
  <c r="W14" i="4"/>
  <c r="W71" i="4"/>
  <c r="W52" i="4"/>
  <c r="W47" i="4"/>
  <c r="W7" i="4"/>
  <c r="W29" i="4"/>
  <c r="W22" i="4"/>
  <c r="W12" i="4"/>
  <c r="W11" i="4"/>
  <c r="W5" i="4"/>
  <c r="W31" i="4"/>
  <c r="W70" i="4"/>
  <c r="W10" i="4"/>
  <c r="W25" i="4"/>
  <c r="W73" i="4"/>
  <c r="W63" i="4"/>
  <c r="W58" i="4"/>
  <c r="C29" i="4" l="1"/>
  <c r="B27" i="4"/>
  <c r="D29" i="4"/>
  <c r="H27" i="4"/>
  <c r="V53" i="4" l="1"/>
  <c r="D4" i="4"/>
  <c r="F4" i="4" s="1"/>
  <c r="D21" i="4"/>
  <c r="E21" i="4" s="1"/>
  <c r="D5" i="4"/>
  <c r="E5" i="4" s="1"/>
  <c r="D6" i="4"/>
  <c r="E6" i="4" s="1"/>
  <c r="D12" i="4"/>
  <c r="F12" i="4" s="1"/>
  <c r="D20" i="4"/>
  <c r="F20" i="4" s="1"/>
  <c r="D13" i="4"/>
  <c r="E13" i="4" s="1"/>
  <c r="D14" i="4"/>
  <c r="E14" i="4" s="1"/>
  <c r="D18" i="4"/>
  <c r="F18" i="4" s="1"/>
  <c r="D8" i="4"/>
  <c r="F8" i="4" s="1"/>
  <c r="D9" i="4"/>
  <c r="F9" i="4" s="1"/>
  <c r="D17" i="4"/>
  <c r="F17" i="4" s="1"/>
  <c r="D7" i="4"/>
  <c r="F7" i="4" s="1"/>
  <c r="D15" i="4"/>
  <c r="F15" i="4" s="1"/>
  <c r="D16" i="4"/>
  <c r="E16" i="4" s="1"/>
  <c r="D10" i="4"/>
  <c r="F10" i="4" s="1"/>
  <c r="D23" i="4"/>
  <c r="E23" i="4" s="1"/>
  <c r="D3" i="4"/>
  <c r="D11" i="4"/>
  <c r="F11" i="4" s="1"/>
  <c r="D19" i="4"/>
  <c r="F19" i="4" s="1"/>
  <c r="D24" i="4"/>
  <c r="E24" i="4" s="1"/>
  <c r="D25" i="4"/>
  <c r="E25" i="4" s="1"/>
  <c r="D22" i="4"/>
  <c r="E22" i="4" s="1"/>
  <c r="D26" i="4"/>
  <c r="V45" i="4" l="1" a="1"/>
  <c r="V45" i="4" s="1"/>
  <c r="V38" i="4" a="1"/>
  <c r="V38" i="4" s="1"/>
  <c r="V31" i="4" a="1"/>
  <c r="V31" i="4" s="1"/>
  <c r="V41" i="4" a="1"/>
  <c r="V41" i="4" s="1"/>
  <c r="F3" i="4"/>
  <c r="V21" i="4" a="1"/>
  <c r="V21" i="4" s="1"/>
  <c r="V11" i="4"/>
  <c r="E17" i="4"/>
  <c r="E9" i="4"/>
  <c r="F13" i="4"/>
  <c r="F23" i="4"/>
  <c r="E4" i="4"/>
  <c r="F21" i="4"/>
  <c r="F5" i="4"/>
  <c r="V33" i="4" a="1"/>
  <c r="V33" i="4" s="1"/>
  <c r="E19" i="4"/>
  <c r="E11" i="4"/>
  <c r="E3" i="4"/>
  <c r="E20" i="4"/>
  <c r="E12" i="4"/>
  <c r="E7" i="4"/>
  <c r="E18" i="4"/>
  <c r="F25" i="4"/>
  <c r="E8" i="4"/>
  <c r="F14" i="4"/>
  <c r="F6" i="4"/>
  <c r="D27" i="4"/>
  <c r="F2" i="4"/>
  <c r="F24" i="4"/>
  <c r="F22" i="4"/>
  <c r="E10" i="4"/>
  <c r="F16" i="4"/>
  <c r="E15" i="4"/>
  <c r="E2" i="4"/>
  <c r="F26" i="4"/>
  <c r="E26" i="4"/>
  <c r="E27" i="4" l="1"/>
  <c r="F27" i="4"/>
  <c r="G27" i="4" l="1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<sst xmlns="http://schemas.openxmlformats.org/spreadsheetml/2006/main" count="83" uniqueCount="45">
  <si>
    <t>X</t>
  </si>
  <si>
    <t>Y</t>
  </si>
  <si>
    <t>SUMMARY OUTPUT</t>
  </si>
  <si>
    <t>Regression Statistics</t>
  </si>
  <si>
    <t>Multiple R</t>
  </si>
  <si>
    <t>R Square</t>
  </si>
  <si>
    <t>Adjusted R Square</t>
  </si>
  <si>
    <t>Standard Error</t>
  </si>
  <si>
    <t>Observations</t>
  </si>
  <si>
    <t>ANOVA</t>
  </si>
  <si>
    <t>Regression</t>
  </si>
  <si>
    <t>Residual</t>
  </si>
  <si>
    <t>Total</t>
  </si>
  <si>
    <t>Intercept</t>
  </si>
  <si>
    <t>df</t>
  </si>
  <si>
    <t>SS</t>
  </si>
  <si>
    <t>MS</t>
  </si>
  <si>
    <t>F</t>
  </si>
  <si>
    <t>Significance F</t>
  </si>
  <si>
    <t>Coefficients</t>
  </si>
  <si>
    <t>t Stat</t>
  </si>
  <si>
    <t>P-value</t>
  </si>
  <si>
    <t>Lower 95%</t>
  </si>
  <si>
    <t>Upper 95%</t>
  </si>
  <si>
    <t>Lower 95.0%</t>
  </si>
  <si>
    <t>Upper 95.0%</t>
  </si>
  <si>
    <t>X Variable 1</t>
  </si>
  <si>
    <t>RESIDUAL OUTPUT</t>
  </si>
  <si>
    <t>Observation</t>
  </si>
  <si>
    <t>Predicted Y</t>
  </si>
  <si>
    <t>Residuals</t>
  </si>
  <si>
    <t>Standard Residuals</t>
  </si>
  <si>
    <t>Ŷ</t>
  </si>
  <si>
    <t>a=</t>
  </si>
  <si>
    <t>b=</t>
  </si>
  <si>
    <r>
      <t>e</t>
    </r>
    <r>
      <rPr>
        <vertAlign val="superscript"/>
        <sz val="11"/>
        <color theme="1"/>
        <rFont val="Aptos Narrow"/>
        <family val="2"/>
      </rPr>
      <t>2</t>
    </r>
    <r>
      <rPr>
        <sz val="11"/>
        <color theme="1"/>
        <rFont val="Aptos Narrow"/>
        <family val="2"/>
      </rPr>
      <t xml:space="preserve"> i.e. (Y-</t>
    </r>
    <r>
      <rPr>
        <sz val="11"/>
        <color theme="1"/>
        <rFont val="Arial"/>
        <family val="2"/>
      </rPr>
      <t>Ŷ</t>
    </r>
    <r>
      <rPr>
        <sz val="11"/>
        <color theme="1"/>
        <rFont val="Aptos Narrow"/>
        <family val="2"/>
      </rPr>
      <t>)</t>
    </r>
    <r>
      <rPr>
        <vertAlign val="superscript"/>
        <sz val="11"/>
        <color theme="1"/>
        <rFont val="Aptos Narrow"/>
        <family val="2"/>
      </rPr>
      <t>2</t>
    </r>
  </si>
  <si>
    <r>
      <t>(Ŷ - ȳ)</t>
    </r>
    <r>
      <rPr>
        <vertAlign val="superscript"/>
        <sz val="11"/>
        <color theme="1"/>
        <rFont val="Aptos Narrow"/>
        <family val="2"/>
      </rPr>
      <t>2</t>
    </r>
  </si>
  <si>
    <t>SST</t>
  </si>
  <si>
    <t>SSE</t>
  </si>
  <si>
    <t>SSR</t>
  </si>
  <si>
    <t>=Manual Entry (number of dependent variables)</t>
  </si>
  <si>
    <t>SUM</t>
  </si>
  <si>
    <t>t-critical</t>
  </si>
  <si>
    <t>Min</t>
  </si>
  <si>
    <t>Max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</si>
</sst>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9">
    <numFmt numFmtId="164" formatCode="0.0"/>
    <numFmt numFmtId="165" formatCode="0.0000000000"/>
    <numFmt numFmtId="166" formatCode="0.000"/>
    <numFmt numFmtId="167" formatCode="0.000000"/>
    <numFmt numFmtId="168" formatCode="0.00000"/>
    <numFmt numFmtId="169" formatCode="0.000000000"/>
    <numFmt numFmtId="170" formatCode="0.0000"/>
    <numFmt numFmtId="171" formatCode="0.000000000000000"/>
    <numFmt numFmtId="172" formatCode="0.00000000"/>
  </numFmts>
  <fonts count="8" x14ac:knownFonts="1">
    <font>
      <sz val="11"/>
      <color theme="1"/>
      <name val="Aptos Narrow"/>
      <family val="2"/>
      <scheme val="minor"/>
    </font>
    <font>
      <sz val="10"/>
      <name val="Arial"/>
      <family val="2"/>
    </font>
    <font>
      <sz val="11"/>
      <name val="Aptos Narrow"/>
      <family val="2"/>
      <scheme val="minor"/>
    </font>
    <font>
      <i/>
      <sz val="11"/>
      <color theme="1"/>
      <name val="Aptos Narrow"/>
      <family val="2"/>
      <scheme val="minor"/>
    </font>
    <font>
      <sz val="11"/>
      <color theme="1"/>
      <name val="Aptos Narrow"/>
      <family val="2"/>
    </font>
    <font>
      <sz val="8"/>
      <name val="Aptos Narrow"/>
      <family val="2"/>
      <scheme val="minor"/>
    </font>
    <font>
      <sz val="11"/>
      <color theme="1"/>
      <name val="Arial"/>
      <family val="2"/>
    </font>
    <font>
      <vertAlign val="superscript"/>
      <sz val="11"/>
      <color theme="1"/>
      <name val="Aptos Narrow"/>
      <family val="2"/>
    </font>
  </fonts>
  <fills count="26">
    <fill>
      <patternFill patternType="none"/>
    </fill>
    <fill>
      <patternFill patternType="gray125"/>
    </fill>
    <fill>
      <patternFill patternType="solid">
        <fgColor theme="9" tint="0.79998168889431442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  <fill>
      <patternFill patternType="solid">
        <fgColor theme="9" tint="-0.249977111117893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8" tint="0.59999389629810485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theme="5" tint="0.79998168889431442"/>
        <bgColor indexed="64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5" tint="0.39997558519241921"/>
        <bgColor indexed="64"/>
      </patternFill>
    </fill>
    <fill>
      <patternFill patternType="solid">
        <fgColor theme="5" tint="-0.249977111117893"/>
        <bgColor indexed="64"/>
      </patternFill>
    </fill>
    <fill>
      <patternFill patternType="solid">
        <fgColor theme="9" tint="-0.499984740745262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2" tint="-0.249977111117893"/>
        <bgColor indexed="64"/>
      </patternFill>
    </fill>
    <fill>
      <patternFill patternType="solid">
        <fgColor theme="2" tint="-0.499984740745262"/>
        <bgColor indexed="64"/>
      </patternFill>
    </fill>
    <fill>
      <patternFill patternType="solid">
        <fgColor theme="3" tint="0.89999084444715716"/>
        <bgColor indexed="64"/>
      </patternFill>
    </fill>
    <fill>
      <patternFill patternType="solid">
        <fgColor theme="3" tint="0.749992370372631"/>
        <bgColor indexed="64"/>
      </patternFill>
    </fill>
    <fill>
      <patternFill patternType="solid">
        <fgColor theme="3" tint="0.499984740745262"/>
        <bgColor indexed="64"/>
      </patternFill>
    </fill>
    <fill>
      <patternFill patternType="solid">
        <fgColor theme="3" tint="0.249977111117893"/>
        <bgColor indexed="64"/>
      </patternFill>
    </fill>
    <fill>
      <patternFill patternType="solid">
        <fgColor theme="6" tint="0.39997558519241921"/>
        <bgColor indexed="64"/>
      </patternFill>
    </fill>
    <fill>
      <patternFill patternType="solid">
        <fgColor theme="7" tint="0.39997558519241921"/>
        <bgColor indexed="64"/>
      </patternFill>
    </fill>
    <fill>
      <patternFill patternType="solid">
        <fgColor theme="7" tint="-0.249977111117893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0" tint="-0.34998626667073579"/>
        <bgColor indexed="64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</borders>
  <cellStyleXfs count="2">
    <xf numFmtId="0" fontId="0" fillId="0" borderId="0"/>
    <xf numFmtId="0" fontId="1" fillId="0" borderId="0"/>
  </cellStyleXfs>
  <cellXfs count="75">
    <xf numFmtId="0" fontId="0" fillId="0" borderId="0" xfId="0"/>
    <xf numFmtId="164" fontId="0" fillId="0" borderId="0" xfId="0" applyNumberFormat="1"/>
    <xf numFmtId="0" fontId="2" fillId="0" borderId="0" xfId="1" applyFont="1"/>
    <xf numFmtId="1" fontId="0" fillId="0" borderId="0" xfId="0" applyNumberFormat="1"/>
    <xf numFmtId="0" fontId="0" fillId="0" borderId="1" xfId="0" applyBorder="1"/>
    <xf numFmtId="0" fontId="3" fillId="0" borderId="2" xfId="0" applyFont="1" applyBorder="1" applyAlignment="1">
      <alignment horizontal="center"/>
    </xf>
    <xf numFmtId="0" fontId="3" fillId="0" borderId="2" xfId="0" applyFont="1" applyBorder="1" applyAlignment="1">
      <alignment horizontal="centerContinuous"/>
    </xf>
    <xf numFmtId="0" fontId="4" fillId="0" borderId="0" xfId="0" applyFont="1"/>
    <xf numFmtId="165" fontId="0" fillId="0" borderId="0" xfId="0" applyNumberFormat="1"/>
    <xf numFmtId="166" fontId="0" fillId="0" borderId="0" xfId="0" applyNumberFormat="1"/>
    <xf numFmtId="0" fontId="0" fillId="0" borderId="0" xfId="0" quotePrefix="1"/>
    <xf numFmtId="0" fontId="0" fillId="0" borderId="0" xfId="0" applyAlignment="1">
      <alignment horizontal="right"/>
    </xf>
    <xf numFmtId="0" fontId="0" fillId="2" borderId="0" xfId="0" applyFill="1"/>
    <xf numFmtId="0" fontId="0" fillId="3" borderId="0" xfId="0" applyFill="1"/>
    <xf numFmtId="0" fontId="0" fillId="4" borderId="0" xfId="0" applyFill="1"/>
    <xf numFmtId="0" fontId="0" fillId="5" borderId="0" xfId="0" applyFill="1"/>
    <xf numFmtId="0" fontId="0" fillId="6" borderId="1" xfId="0" applyFill="1" applyBorder="1"/>
    <xf numFmtId="0" fontId="0" fillId="7" borderId="0" xfId="0" applyFill="1"/>
    <xf numFmtId="1" fontId="0" fillId="7" borderId="0" xfId="0" applyNumberFormat="1" applyFill="1"/>
    <xf numFmtId="0" fontId="0" fillId="8" borderId="0" xfId="0" applyFill="1"/>
    <xf numFmtId="1" fontId="0" fillId="8" borderId="0" xfId="0" applyNumberFormat="1" applyFill="1"/>
    <xf numFmtId="0" fontId="0" fillId="6" borderId="0" xfId="0" applyFill="1"/>
    <xf numFmtId="0" fontId="0" fillId="9" borderId="0" xfId="0" applyFill="1"/>
    <xf numFmtId="0" fontId="0" fillId="10" borderId="0" xfId="0" applyFill="1"/>
    <xf numFmtId="0" fontId="0" fillId="11" borderId="0" xfId="0" applyFill="1"/>
    <xf numFmtId="0" fontId="0" fillId="12" borderId="0" xfId="0" applyFill="1"/>
    <xf numFmtId="0" fontId="0" fillId="12" borderId="0" xfId="0" quotePrefix="1" applyFill="1"/>
    <xf numFmtId="0" fontId="3" fillId="0" borderId="0" xfId="0" applyFont="1" applyAlignment="1">
      <alignment horizontal="center"/>
    </xf>
    <xf numFmtId="0" fontId="0" fillId="13" borderId="1" xfId="0" applyFill="1" applyBorder="1"/>
    <xf numFmtId="0" fontId="0" fillId="13" borderId="0" xfId="0" applyFill="1"/>
    <xf numFmtId="0" fontId="0" fillId="14" borderId="0" xfId="0" applyFill="1"/>
    <xf numFmtId="0" fontId="0" fillId="15" borderId="0" xfId="0" applyFill="1"/>
    <xf numFmtId="0" fontId="0" fillId="16" borderId="1" xfId="0" applyFill="1" applyBorder="1"/>
    <xf numFmtId="0" fontId="0" fillId="16" borderId="0" xfId="0" applyFill="1"/>
    <xf numFmtId="1" fontId="0" fillId="8" borderId="0" xfId="0" quotePrefix="1" applyNumberFormat="1" applyFill="1"/>
    <xf numFmtId="1" fontId="0" fillId="7" borderId="0" xfId="0" quotePrefix="1" applyNumberFormat="1" applyFill="1"/>
    <xf numFmtId="0" fontId="0" fillId="6" borderId="0" xfId="0" quotePrefix="1" applyFill="1"/>
    <xf numFmtId="167" fontId="0" fillId="2" borderId="0" xfId="0" applyNumberFormat="1" applyFill="1"/>
    <xf numFmtId="167" fontId="0" fillId="2" borderId="0" xfId="0" quotePrefix="1" applyNumberFormat="1" applyFill="1"/>
    <xf numFmtId="167" fontId="0" fillId="5" borderId="0" xfId="0" quotePrefix="1" applyNumberFormat="1" applyFill="1"/>
    <xf numFmtId="167" fontId="0" fillId="5" borderId="0" xfId="0" applyNumberFormat="1" applyFill="1"/>
    <xf numFmtId="169" fontId="0" fillId="0" borderId="0" xfId="0" applyNumberFormat="1"/>
    <xf numFmtId="169" fontId="0" fillId="3" borderId="0" xfId="0" quotePrefix="1" applyNumberFormat="1" applyFill="1"/>
    <xf numFmtId="169" fontId="0" fillId="4" borderId="0" xfId="0" quotePrefix="1" applyNumberFormat="1" applyFill="1"/>
    <xf numFmtId="1" fontId="0" fillId="6" borderId="0" xfId="0" applyNumberFormat="1" applyFill="1"/>
    <xf numFmtId="1" fontId="0" fillId="0" borderId="0" xfId="0" quotePrefix="1" applyNumberFormat="1"/>
    <xf numFmtId="2" fontId="0" fillId="10" borderId="0" xfId="0" applyNumberFormat="1" applyFill="1"/>
    <xf numFmtId="168" fontId="0" fillId="11" borderId="0" xfId="0" applyNumberFormat="1" applyFill="1"/>
    <xf numFmtId="0" fontId="0" fillId="17" borderId="0" xfId="0" applyFill="1"/>
    <xf numFmtId="170" fontId="0" fillId="17" borderId="0" xfId="0" applyNumberFormat="1" applyFill="1"/>
    <xf numFmtId="0" fontId="0" fillId="18" borderId="0" xfId="0" applyFill="1"/>
    <xf numFmtId="0" fontId="0" fillId="19" borderId="1" xfId="0" applyFill="1" applyBorder="1"/>
    <xf numFmtId="0" fontId="0" fillId="20" borderId="1" xfId="0" applyFill="1" applyBorder="1"/>
    <xf numFmtId="0" fontId="0" fillId="19" borderId="0" xfId="0" applyFill="1"/>
    <xf numFmtId="0" fontId="0" fillId="19" borderId="0" xfId="0" quotePrefix="1" applyFill="1"/>
    <xf numFmtId="0" fontId="0" fillId="20" borderId="0" xfId="0" quotePrefix="1" applyFill="1"/>
    <xf numFmtId="0" fontId="0" fillId="21" borderId="0" xfId="0" applyFill="1"/>
    <xf numFmtId="0" fontId="0" fillId="4" borderId="1" xfId="0" applyFill="1" applyBorder="1"/>
    <xf numFmtId="169" fontId="0" fillId="0" borderId="0" xfId="0" quotePrefix="1" applyNumberFormat="1"/>
    <xf numFmtId="0" fontId="0" fillId="22" borderId="0" xfId="0" applyFill="1"/>
    <xf numFmtId="169" fontId="0" fillId="22" borderId="0" xfId="0" quotePrefix="1" applyNumberFormat="1" applyFill="1"/>
    <xf numFmtId="0" fontId="0" fillId="23" borderId="1" xfId="0" applyFill="1" applyBorder="1"/>
    <xf numFmtId="169" fontId="0" fillId="23" borderId="0" xfId="0" quotePrefix="1" applyNumberFormat="1" applyFill="1"/>
    <xf numFmtId="0" fontId="0" fillId="24" borderId="0" xfId="0" applyFill="1"/>
    <xf numFmtId="0" fontId="0" fillId="24" borderId="1" xfId="0" applyFill="1" applyBorder="1"/>
    <xf numFmtId="0" fontId="0" fillId="24" borderId="0" xfId="0" quotePrefix="1" applyFill="1"/>
    <xf numFmtId="0" fontId="0" fillId="25" borderId="0" xfId="0" quotePrefix="1" applyFill="1"/>
    <xf numFmtId="0" fontId="0" fillId="25" borderId="0" xfId="0" applyFill="1"/>
    <xf numFmtId="0" fontId="0" fillId="25" borderId="1" xfId="0" applyFill="1" applyBorder="1"/>
    <xf numFmtId="171" fontId="0" fillId="0" borderId="0" xfId="0" applyNumberFormat="1"/>
    <xf numFmtId="166" fontId="0" fillId="8" borderId="0" xfId="0" quotePrefix="1" applyNumberFormat="1" applyFill="1"/>
    <xf numFmtId="172" fontId="0" fillId="0" borderId="0" xfId="0" quotePrefix="1" applyNumberFormat="1"/>
    <xf numFmtId="2" fontId="0" fillId="10" borderId="0" xfId="0" quotePrefix="1" applyNumberFormat="1" applyFill="1"/>
    <xf numFmtId="170" fontId="0" fillId="21" borderId="0" xfId="0" applyNumberFormat="1" applyFill="1"/>
    <xf numFmtId="168" fontId="0" fillId="4" borderId="0" xfId="0" applyNumberFormat="1" applyFill="1"/>
  </cellXfs>
  <cellStyles count="2">
    <cellStyle name="Normal" xfId="0" builtinId="0"/>
    <cellStyle name="Normal 2" xfId="1" xr:uid="{5C2A8346-9E68-4F5C-BF9E-D2AF2EE431DC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theme" Target="theme/theme1.xml"/><Relationship Id="rId7" Type="http://schemas.microsoft.com/office/2017/10/relationships/person" Target="persons/perso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eetMetadata" Target="metadata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_rels/chart3.xml.rels><?xml version="1.0" encoding="UTF-8" standalone="yes"?>
<Relationships xmlns="http://schemas.openxmlformats.org/package/2006/relationships"><Relationship Id="rId2" Type="http://schemas.microsoft.com/office/2011/relationships/chartColorStyle" Target="colors3.xml"/><Relationship Id="rId1" Type="http://schemas.microsoft.com/office/2011/relationships/chartStyle" Target="style3.xml"/></Relationships>
</file>

<file path=xl/charts/_rels/chart4.xml.rels><?xml version="1.0" encoding="UTF-8" standalone="yes"?>
<Relationships xmlns="http://schemas.openxmlformats.org/package/2006/relationships"><Relationship Id="rId2" Type="http://schemas.microsoft.com/office/2011/relationships/chartColorStyle" Target="colors4.xml"/><Relationship Id="rId1" Type="http://schemas.microsoft.com/office/2011/relationships/chartStyle" Target="style4.xml"/></Relationships>
</file>

<file path=xl/charts/_rels/chart5.xml.rels><?xml version="1.0" encoding="UTF-8" standalone="yes"?>
<Relationships xmlns="http://schemas.openxmlformats.org/package/2006/relationships"><Relationship Id="rId2" Type="http://schemas.microsoft.com/office/2011/relationships/chartColorStyle" Target="colors5.xml"/><Relationship Id="rId1" Type="http://schemas.microsoft.com/office/2011/relationships/chartStyle" Target="style5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Sheet1!$C$2:$C$26</c:f>
              <c:numCache>
                <c:formatCode>General</c:formatCode>
                <c:ptCount val="25"/>
                <c:pt idx="0">
                  <c:v>7050</c:v>
                </c:pt>
                <c:pt idx="1">
                  <c:v>7770</c:v>
                </c:pt>
                <c:pt idx="2">
                  <c:v>7200</c:v>
                </c:pt>
                <c:pt idx="3">
                  <c:v>7210</c:v>
                </c:pt>
                <c:pt idx="4">
                  <c:v>7420</c:v>
                </c:pt>
                <c:pt idx="5">
                  <c:v>7380</c:v>
                </c:pt>
                <c:pt idx="6">
                  <c:v>7350</c:v>
                </c:pt>
                <c:pt idx="7">
                  <c:v>7260</c:v>
                </c:pt>
                <c:pt idx="8">
                  <c:v>7450</c:v>
                </c:pt>
                <c:pt idx="9">
                  <c:v>7250</c:v>
                </c:pt>
                <c:pt idx="10">
                  <c:v>7600</c:v>
                </c:pt>
                <c:pt idx="11">
                  <c:v>7650</c:v>
                </c:pt>
                <c:pt idx="12">
                  <c:v>7520</c:v>
                </c:pt>
                <c:pt idx="13">
                  <c:v>7690</c:v>
                </c:pt>
                <c:pt idx="14">
                  <c:v>7670</c:v>
                </c:pt>
                <c:pt idx="15">
                  <c:v>7790</c:v>
                </c:pt>
                <c:pt idx="16">
                  <c:v>7430</c:v>
                </c:pt>
                <c:pt idx="17">
                  <c:v>7720</c:v>
                </c:pt>
                <c:pt idx="18">
                  <c:v>7540</c:v>
                </c:pt>
                <c:pt idx="19">
                  <c:v>7330</c:v>
                </c:pt>
                <c:pt idx="20">
                  <c:v>7830</c:v>
                </c:pt>
                <c:pt idx="21">
                  <c:v>7680</c:v>
                </c:pt>
                <c:pt idx="22">
                  <c:v>8300</c:v>
                </c:pt>
                <c:pt idx="23">
                  <c:v>8010</c:v>
                </c:pt>
                <c:pt idx="2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1925-47D7-B109-C819E30E2968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17392"/>
        <c:axId val="56117872"/>
      </c:lineChart>
      <c:catAx>
        <c:axId val="56117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872"/>
        <c:crosses val="autoZero"/>
        <c:auto val="1"/>
        <c:lblAlgn val="ctr"/>
        <c:lblOffset val="100"/>
        <c:noMultiLvlLbl val="0"/>
      </c:catAx>
      <c:valAx>
        <c:axId val="5611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  <a:r>
              <a:rPr lang="en-US" baseline="0"/>
              <a:t> and Ŷ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Sheet1!$C$1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Sheet1!$C$2:$C$26</c:f>
              <c:numCache>
                <c:formatCode>General</c:formatCode>
                <c:ptCount val="25"/>
                <c:pt idx="0">
                  <c:v>7050</c:v>
                </c:pt>
                <c:pt idx="1">
                  <c:v>7770</c:v>
                </c:pt>
                <c:pt idx="2">
                  <c:v>7200</c:v>
                </c:pt>
                <c:pt idx="3">
                  <c:v>7210</c:v>
                </c:pt>
                <c:pt idx="4">
                  <c:v>7420</c:v>
                </c:pt>
                <c:pt idx="5">
                  <c:v>7380</c:v>
                </c:pt>
                <c:pt idx="6">
                  <c:v>7350</c:v>
                </c:pt>
                <c:pt idx="7">
                  <c:v>7260</c:v>
                </c:pt>
                <c:pt idx="8">
                  <c:v>7450</c:v>
                </c:pt>
                <c:pt idx="9">
                  <c:v>7250</c:v>
                </c:pt>
                <c:pt idx="10">
                  <c:v>7600</c:v>
                </c:pt>
                <c:pt idx="11">
                  <c:v>7650</c:v>
                </c:pt>
                <c:pt idx="12">
                  <c:v>7520</c:v>
                </c:pt>
                <c:pt idx="13">
                  <c:v>7690</c:v>
                </c:pt>
                <c:pt idx="14">
                  <c:v>7670</c:v>
                </c:pt>
                <c:pt idx="15">
                  <c:v>7790</c:v>
                </c:pt>
                <c:pt idx="16">
                  <c:v>7430</c:v>
                </c:pt>
                <c:pt idx="17">
                  <c:v>7720</c:v>
                </c:pt>
                <c:pt idx="18">
                  <c:v>7540</c:v>
                </c:pt>
                <c:pt idx="19">
                  <c:v>7330</c:v>
                </c:pt>
                <c:pt idx="20">
                  <c:v>7830</c:v>
                </c:pt>
                <c:pt idx="21">
                  <c:v>7680</c:v>
                </c:pt>
                <c:pt idx="22">
                  <c:v>8300</c:v>
                </c:pt>
                <c:pt idx="23">
                  <c:v>8010</c:v>
                </c:pt>
                <c:pt idx="2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D844-4DE1-B012-66DAC0A63D0B}"/>
            </c:ext>
          </c:extLst>
        </c:ser>
        <c:ser>
          <c:idx val="1"/>
          <c:order val="1"/>
          <c:tx>
            <c:strRef>
              <c:f>Sheet1!$L$24</c:f>
              <c:strCache>
                <c:ptCount val="1"/>
                <c:pt idx="0">
                  <c:v>Predicted 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Sheet1!$L$25:$L$49</c:f>
              <c:numCache>
                <c:formatCode>General</c:formatCode>
                <c:ptCount val="25"/>
                <c:pt idx="0">
                  <c:v>7210.6461538461544</c:v>
                </c:pt>
                <c:pt idx="1">
                  <c:v>7240.4923076923078</c:v>
                </c:pt>
                <c:pt idx="2">
                  <c:v>7270.3384615384621</c:v>
                </c:pt>
                <c:pt idx="3">
                  <c:v>7300.1846153846154</c:v>
                </c:pt>
                <c:pt idx="4">
                  <c:v>7330.0307692307697</c:v>
                </c:pt>
                <c:pt idx="5">
                  <c:v>7359.876923076923</c:v>
                </c:pt>
                <c:pt idx="6">
                  <c:v>7389.7230769230773</c:v>
                </c:pt>
                <c:pt idx="7">
                  <c:v>7419.5692307692307</c:v>
                </c:pt>
                <c:pt idx="8">
                  <c:v>7449.4153846153849</c:v>
                </c:pt>
                <c:pt idx="9">
                  <c:v>7479.2615384615383</c:v>
                </c:pt>
                <c:pt idx="10">
                  <c:v>7509.1076923076926</c:v>
                </c:pt>
                <c:pt idx="11">
                  <c:v>7538.9538461538468</c:v>
                </c:pt>
                <c:pt idx="12">
                  <c:v>7568.8</c:v>
                </c:pt>
                <c:pt idx="13">
                  <c:v>7598.6461538461544</c:v>
                </c:pt>
                <c:pt idx="14">
                  <c:v>7628.4923076923078</c:v>
                </c:pt>
                <c:pt idx="15">
                  <c:v>7658.3384615384621</c:v>
                </c:pt>
                <c:pt idx="16">
                  <c:v>7688.1846153846154</c:v>
                </c:pt>
                <c:pt idx="17">
                  <c:v>7718.0307692307697</c:v>
                </c:pt>
                <c:pt idx="18">
                  <c:v>7747.876923076923</c:v>
                </c:pt>
                <c:pt idx="19">
                  <c:v>7777.7230769230773</c:v>
                </c:pt>
                <c:pt idx="20">
                  <c:v>7807.5692307692307</c:v>
                </c:pt>
                <c:pt idx="21">
                  <c:v>7837.4153846153849</c:v>
                </c:pt>
                <c:pt idx="22">
                  <c:v>7867.2615384615383</c:v>
                </c:pt>
                <c:pt idx="23">
                  <c:v>7897.1076923076926</c:v>
                </c:pt>
                <c:pt idx="24">
                  <c:v>7926.9538461538468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D844-4DE1-B012-66DAC0A63D0B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17392"/>
        <c:axId val="56117872"/>
      </c:lineChart>
      <c:catAx>
        <c:axId val="56117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872"/>
        <c:crosses val="autoZero"/>
        <c:auto val="1"/>
        <c:lblAlgn val="ctr"/>
        <c:lblOffset val="100"/>
        <c:noMultiLvlLbl val="0"/>
      </c:catAx>
      <c:valAx>
        <c:axId val="5611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3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Sheet2!$B$1</c:f>
              <c:strCache>
                <c:ptCount val="1"/>
                <c:pt idx="0">
                  <c:v>X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Sheet2!$B$2:$B$26</c:f>
              <c:numCache>
                <c:formatCode>0.0</c:formatCode>
                <c:ptCount val="25"/>
                <c:pt idx="0">
                  <c:v>75.103999999999999</c:v>
                </c:pt>
                <c:pt idx="1">
                  <c:v>75.263999999999996</c:v>
                </c:pt>
                <c:pt idx="2">
                  <c:v>75.138000000000005</c:v>
                </c:pt>
                <c:pt idx="3">
                  <c:v>75.007000000000005</c:v>
                </c:pt>
                <c:pt idx="4">
                  <c:v>75.075999999999993</c:v>
                </c:pt>
                <c:pt idx="5">
                  <c:v>75.337999999999994</c:v>
                </c:pt>
                <c:pt idx="6">
                  <c:v>75.174999999999997</c:v>
                </c:pt>
                <c:pt idx="7">
                  <c:v>75.302999999999997</c:v>
                </c:pt>
                <c:pt idx="8">
                  <c:v>75.375</c:v>
                </c:pt>
                <c:pt idx="9">
                  <c:v>75.561000000000007</c:v>
                </c:pt>
                <c:pt idx="10">
                  <c:v>75.593999999999994</c:v>
                </c:pt>
                <c:pt idx="11">
                  <c:v>75.632000000000005</c:v>
                </c:pt>
                <c:pt idx="12">
                  <c:v>75.549000000000007</c:v>
                </c:pt>
                <c:pt idx="13">
                  <c:v>75.519000000000005</c:v>
                </c:pt>
                <c:pt idx="14">
                  <c:v>75.557000000000002</c:v>
                </c:pt>
                <c:pt idx="15">
                  <c:v>75.552999999999997</c:v>
                </c:pt>
                <c:pt idx="16">
                  <c:v>75.712000000000003</c:v>
                </c:pt>
                <c:pt idx="17">
                  <c:v>75.760999999999996</c:v>
                </c:pt>
                <c:pt idx="18">
                  <c:v>75.832999999999998</c:v>
                </c:pt>
                <c:pt idx="19">
                  <c:v>76.105999999999995</c:v>
                </c:pt>
                <c:pt idx="20">
                  <c:v>76.126999999999995</c:v>
                </c:pt>
                <c:pt idx="21">
                  <c:v>76.057000000000002</c:v>
                </c:pt>
                <c:pt idx="22">
                  <c:v>76.113</c:v>
                </c:pt>
                <c:pt idx="23">
                  <c:v>76.049000000000007</c:v>
                </c:pt>
                <c:pt idx="24">
                  <c:v>76.102000000000004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EB1E-4A15-B5BC-8879333E316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07312"/>
        <c:axId val="56111152"/>
      </c:lineChart>
      <c:catAx>
        <c:axId val="5610731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1152"/>
        <c:crosses val="autoZero"/>
        <c:auto val="1"/>
        <c:lblAlgn val="ctr"/>
        <c:lblOffset val="100"/>
        <c:noMultiLvlLbl val="0"/>
      </c:catAx>
      <c:valAx>
        <c:axId val="5611115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0.0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0731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4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Sheet2!$C$2:$C$26</c:f>
              <c:numCache>
                <c:formatCode>General</c:formatCode>
                <c:ptCount val="25"/>
                <c:pt idx="0">
                  <c:v>7050</c:v>
                </c:pt>
                <c:pt idx="1">
                  <c:v>7770</c:v>
                </c:pt>
                <c:pt idx="2">
                  <c:v>7200</c:v>
                </c:pt>
                <c:pt idx="3">
                  <c:v>7210</c:v>
                </c:pt>
                <c:pt idx="4">
                  <c:v>7420</c:v>
                </c:pt>
                <c:pt idx="5">
                  <c:v>7380</c:v>
                </c:pt>
                <c:pt idx="6">
                  <c:v>7350</c:v>
                </c:pt>
                <c:pt idx="7">
                  <c:v>7260</c:v>
                </c:pt>
                <c:pt idx="8">
                  <c:v>7450</c:v>
                </c:pt>
                <c:pt idx="9">
                  <c:v>7250</c:v>
                </c:pt>
                <c:pt idx="10">
                  <c:v>7600</c:v>
                </c:pt>
                <c:pt idx="11">
                  <c:v>7650</c:v>
                </c:pt>
                <c:pt idx="12">
                  <c:v>7520</c:v>
                </c:pt>
                <c:pt idx="13">
                  <c:v>7690</c:v>
                </c:pt>
                <c:pt idx="14">
                  <c:v>7670</c:v>
                </c:pt>
                <c:pt idx="15">
                  <c:v>7790</c:v>
                </c:pt>
                <c:pt idx="16">
                  <c:v>7430</c:v>
                </c:pt>
                <c:pt idx="17">
                  <c:v>7720</c:v>
                </c:pt>
                <c:pt idx="18">
                  <c:v>7540</c:v>
                </c:pt>
                <c:pt idx="19">
                  <c:v>7330</c:v>
                </c:pt>
                <c:pt idx="20">
                  <c:v>7830</c:v>
                </c:pt>
                <c:pt idx="21">
                  <c:v>7680</c:v>
                </c:pt>
                <c:pt idx="22">
                  <c:v>8300</c:v>
                </c:pt>
                <c:pt idx="23">
                  <c:v>8010</c:v>
                </c:pt>
                <c:pt idx="2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2E49-4D83-A4E2-3757B26240D3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17392"/>
        <c:axId val="56117872"/>
      </c:lineChart>
      <c:catAx>
        <c:axId val="56117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872"/>
        <c:crosses val="autoZero"/>
        <c:auto val="1"/>
        <c:lblAlgn val="ctr"/>
        <c:lblOffset val="100"/>
        <c:noMultiLvlLbl val="0"/>
      </c:catAx>
      <c:valAx>
        <c:axId val="5611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392"/>
        <c:crosses val="autoZero"/>
        <c:crossBetween val="between"/>
      </c:valAx>
      <c:spPr>
        <a:noFill/>
        <a:ln>
          <a:noFill/>
        </a:ln>
        <a:effectLst/>
      </c:spPr>
    </c:plotArea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hart5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en-US"/>
  <c:roundedCorners val="0"/>
  <mc:AlternateContent xmlns:mc="http://schemas.openxmlformats.org/markup-compatibility/2006">
    <mc:Choice xmlns:c14="http://schemas.microsoft.com/office/drawing/2007/8/2/chart" Requires="c14">
      <c14:style val="102"/>
    </mc:Choice>
    <mc:Fallback>
      <c:style val="2"/>
    </mc:Fallback>
  </mc:AlternateContent>
  <c:chart>
    <c:title>
      <c:tx>
        <c:rich>
          <a:bodyPr rot="0" spcFirstLastPara="1" vertOverflow="ellipsis" vert="horz" wrap="square" anchor="ctr" anchorCtr="1"/>
          <a:lstStyle/>
          <a:p>
            <a:pPr>
              <a:defRPr sz="1400" b="0" i="0" u="none" strike="noStrike" kern="1200" spc="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r>
              <a:rPr lang="en-US"/>
              <a:t>Y</a:t>
            </a:r>
            <a:r>
              <a:rPr lang="en-US" baseline="0"/>
              <a:t> and Ŷ</a:t>
            </a:r>
            <a:endParaRPr lang="en-US"/>
          </a:p>
        </c:rich>
      </c:tx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1400" b="0" i="0" u="none" strike="noStrike" kern="1200" spc="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title>
    <c:autoTitleDeleted val="0"/>
    <c:plotArea>
      <c:layout/>
      <c:lineChart>
        <c:grouping val="standard"/>
        <c:varyColors val="0"/>
        <c:ser>
          <c:idx val="0"/>
          <c:order val="0"/>
          <c:tx>
            <c:strRef>
              <c:f>Sheet2!$C$1</c:f>
              <c:strCache>
                <c:ptCount val="1"/>
                <c:pt idx="0">
                  <c:v>Y</c:v>
                </c:pt>
              </c:strCache>
            </c:strRef>
          </c:tx>
          <c:spPr>
            <a:ln w="28575" cap="rnd">
              <a:solidFill>
                <a:schemeClr val="accent1"/>
              </a:solidFill>
              <a:round/>
            </a:ln>
            <a:effectLst/>
          </c:spPr>
          <c:marker>
            <c:symbol val="none"/>
          </c:marker>
          <c:val>
            <c:numRef>
              <c:f>Sheet2!$C$2:$C$26</c:f>
              <c:numCache>
                <c:formatCode>General</c:formatCode>
                <c:ptCount val="25"/>
                <c:pt idx="0">
                  <c:v>7050</c:v>
                </c:pt>
                <c:pt idx="1">
                  <c:v>7770</c:v>
                </c:pt>
                <c:pt idx="2">
                  <c:v>7200</c:v>
                </c:pt>
                <c:pt idx="3">
                  <c:v>7210</c:v>
                </c:pt>
                <c:pt idx="4">
                  <c:v>7420</c:v>
                </c:pt>
                <c:pt idx="5">
                  <c:v>7380</c:v>
                </c:pt>
                <c:pt idx="6">
                  <c:v>7350</c:v>
                </c:pt>
                <c:pt idx="7">
                  <c:v>7260</c:v>
                </c:pt>
                <c:pt idx="8">
                  <c:v>7450</c:v>
                </c:pt>
                <c:pt idx="9">
                  <c:v>7250</c:v>
                </c:pt>
                <c:pt idx="10">
                  <c:v>7600</c:v>
                </c:pt>
                <c:pt idx="11">
                  <c:v>7650</c:v>
                </c:pt>
                <c:pt idx="12">
                  <c:v>7520</c:v>
                </c:pt>
                <c:pt idx="13">
                  <c:v>7690</c:v>
                </c:pt>
                <c:pt idx="14">
                  <c:v>7670</c:v>
                </c:pt>
                <c:pt idx="15">
                  <c:v>7790</c:v>
                </c:pt>
                <c:pt idx="16">
                  <c:v>7430</c:v>
                </c:pt>
                <c:pt idx="17">
                  <c:v>7720</c:v>
                </c:pt>
                <c:pt idx="18">
                  <c:v>7540</c:v>
                </c:pt>
                <c:pt idx="19">
                  <c:v>7330</c:v>
                </c:pt>
                <c:pt idx="20">
                  <c:v>7830</c:v>
                </c:pt>
                <c:pt idx="21">
                  <c:v>7680</c:v>
                </c:pt>
                <c:pt idx="22">
                  <c:v>8300</c:v>
                </c:pt>
                <c:pt idx="23">
                  <c:v>8010</c:v>
                </c:pt>
                <c:pt idx="24">
                  <c:v>8120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0-0E30-4A1E-853B-A62B5928E17E}"/>
            </c:ext>
          </c:extLst>
        </c:ser>
        <c:ser>
          <c:idx val="1"/>
          <c:order val="1"/>
          <c:tx>
            <c:strRef>
              <c:f>Sheet2!$L$24</c:f>
              <c:strCache>
                <c:ptCount val="1"/>
                <c:pt idx="0">
                  <c:v>Predicted Y</c:v>
                </c:pt>
              </c:strCache>
            </c:strRef>
          </c:tx>
          <c:spPr>
            <a:ln w="28575" cap="rnd">
              <a:solidFill>
                <a:schemeClr val="accent2"/>
              </a:solidFill>
              <a:round/>
            </a:ln>
            <a:effectLst/>
          </c:spPr>
          <c:marker>
            <c:symbol val="none"/>
          </c:marker>
          <c:val>
            <c:numRef>
              <c:f>Sheet2!$L$25:$L$49</c:f>
              <c:numCache>
                <c:formatCode>General</c:formatCode>
                <c:ptCount val="25"/>
                <c:pt idx="0">
                  <c:v>7290.5765200328096</c:v>
                </c:pt>
                <c:pt idx="1">
                  <c:v>7383.2790539660709</c:v>
                </c:pt>
                <c:pt idx="2">
                  <c:v>7310.2758084936286</c:v>
                </c:pt>
                <c:pt idx="3">
                  <c:v>7234.3756088357768</c:v>
                </c:pt>
                <c:pt idx="4">
                  <c:v>7274.3535765944835</c:v>
                </c:pt>
                <c:pt idx="5">
                  <c:v>7426.1539759102016</c:v>
                </c:pt>
                <c:pt idx="6">
                  <c:v>7331.7132694656902</c:v>
                </c:pt>
                <c:pt idx="7">
                  <c:v>7405.8752966122993</c:v>
                </c:pt>
                <c:pt idx="8">
                  <c:v>7447.5914368822705</c:v>
                </c:pt>
                <c:pt idx="9">
                  <c:v>7555.358132579684</c:v>
                </c:pt>
                <c:pt idx="10">
                  <c:v>7574.4780302034123</c:v>
                </c:pt>
                <c:pt idx="11">
                  <c:v>7596.4948820125719</c:v>
                </c:pt>
                <c:pt idx="12">
                  <c:v>7548.4054425346912</c:v>
                </c:pt>
                <c:pt idx="13">
                  <c:v>7531.0237174222057</c:v>
                </c:pt>
                <c:pt idx="14">
                  <c:v>7553.0405692313507</c:v>
                </c:pt>
                <c:pt idx="15">
                  <c:v>7550.7230058830173</c:v>
                </c:pt>
                <c:pt idx="16">
                  <c:v>7642.8461489792026</c:v>
                </c:pt>
                <c:pt idx="17">
                  <c:v>7671.236299996257</c:v>
                </c:pt>
                <c:pt idx="18">
                  <c:v>7712.9524402662209</c:v>
                </c:pt>
                <c:pt idx="19">
                  <c:v>7871.1261387898485</c:v>
                </c:pt>
                <c:pt idx="20">
                  <c:v>7883.293346368584</c:v>
                </c:pt>
                <c:pt idx="21">
                  <c:v>7842.7359877727868</c:v>
                </c:pt>
                <c:pt idx="22">
                  <c:v>7875.1818746494318</c:v>
                </c:pt>
                <c:pt idx="23">
                  <c:v>7838.1008610761273</c:v>
                </c:pt>
                <c:pt idx="24">
                  <c:v>7868.8085754415224</c:v>
                </c:pt>
              </c:numCache>
            </c:numRef>
          </c:val>
          <c:smooth val="0"/>
          <c:extLst>
            <c:ext xmlns:c16="http://schemas.microsoft.com/office/drawing/2014/chart" uri="{C3380CC4-5D6E-409C-BE32-E72D297353CC}">
              <c16:uniqueId val="{00000001-0E30-4A1E-853B-A62B5928E17E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smooth val="0"/>
        <c:axId val="56117392"/>
        <c:axId val="56117872"/>
      </c:lineChart>
      <c:catAx>
        <c:axId val="56117392"/>
        <c:scaling>
          <c:orientation val="minMax"/>
        </c:scaling>
        <c:delete val="0"/>
        <c:axPos val="b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15000"/>
                <a:lumOff val="8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872"/>
        <c:crosses val="autoZero"/>
        <c:auto val="1"/>
        <c:lblAlgn val="ctr"/>
        <c:lblOffset val="100"/>
        <c:noMultiLvlLbl val="0"/>
      </c:catAx>
      <c:valAx>
        <c:axId val="56117872"/>
        <c:scaling>
          <c:orientation val="minMax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numFmt formatCode="General" sourceLinked="1"/>
        <c:majorTickMark val="none"/>
        <c:minorTickMark val="none"/>
        <c:tickLblPos val="nextTo"/>
        <c:spPr>
          <a:noFill/>
          <a:ln>
            <a:noFill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900" b="0" i="0" u="none" strike="noStrike" kern="1200" baseline="0">
                <a:solidFill>
                  <a:schemeClr val="tx1">
                    <a:lumMod val="65000"/>
                    <a:lumOff val="35000"/>
                  </a:schemeClr>
                </a:solidFill>
                <a:latin typeface="+mn-lt"/>
                <a:ea typeface="+mn-ea"/>
                <a:cs typeface="+mn-cs"/>
              </a:defRPr>
            </a:pPr>
            <a:endParaRPr lang="en-US"/>
          </a:p>
        </c:txPr>
        <c:crossAx val="56117392"/>
        <c:crosses val="autoZero"/>
        <c:crossBetween val="between"/>
      </c:valAx>
      <c:spPr>
        <a:noFill/>
        <a:ln>
          <a:noFill/>
        </a:ln>
        <a:effectLst/>
      </c:spPr>
    </c:plotArea>
    <c:legend>
      <c:legendPos val="b"/>
      <c:overlay val="0"/>
      <c:spPr>
        <a:noFill/>
        <a:ln>
          <a:noFill/>
        </a:ln>
        <a:effectLst/>
      </c:spPr>
      <c:txPr>
        <a:bodyPr rot="0" spcFirstLastPara="1" vertOverflow="ellipsis" vert="horz" wrap="square" anchor="ctr" anchorCtr="1"/>
        <a:lstStyle/>
        <a:p>
          <a:pPr>
            <a:defRPr sz="900" b="0" i="0" u="none" strike="noStrike" kern="1200" baseline="0">
              <a:solidFill>
                <a:schemeClr val="tx1">
                  <a:lumMod val="65000"/>
                  <a:lumOff val="35000"/>
                </a:schemeClr>
              </a:solidFill>
              <a:latin typeface="+mn-lt"/>
              <a:ea typeface="+mn-ea"/>
              <a:cs typeface="+mn-cs"/>
            </a:defRPr>
          </a:pPr>
          <a:endParaRPr lang="en-US"/>
        </a:p>
      </c:txPr>
    </c:legend>
    <c:plotVisOnly val="1"/>
    <c:dispBlanksAs val="gap"/>
    <c:extLst>
      <c:ext xmlns:c16r3="http://schemas.microsoft.com/office/drawing/2017/03/chart" uri="{56B9EC1D-385E-4148-901F-78D8002777C0}">
        <c16r3:dataDisplayOptions16>
          <c16r3:dispNaAsBlank val="1"/>
        </c16r3:dataDisplayOptions16>
      </c:ext>
    </c:extLst>
    <c:showDLblsOverMax val="0"/>
  </c:chart>
  <c:spPr>
    <a:solidFill>
      <a:schemeClr val="bg1"/>
    </a:solidFill>
    <a:ln w="9525" cap="flat" cmpd="sng" algn="ctr">
      <a:solidFill>
        <a:schemeClr val="tx1">
          <a:lumMod val="15000"/>
          <a:lumOff val="85000"/>
        </a:schemeClr>
      </a:solidFill>
      <a:round/>
    </a:ln>
    <a:effectLst/>
  </c:spPr>
  <c:txPr>
    <a:bodyPr/>
    <a:lstStyle/>
    <a:p>
      <a:pPr>
        <a:defRPr/>
      </a:pPr>
      <a:endParaRPr lang="en-US"/>
    </a:p>
  </c:txPr>
  <c:printSettings>
    <c:headerFooter/>
    <c:pageMargins b="0.75" l="0.7" r="0.7" t="0.75" header="0.3" footer="0.3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2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3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4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colors5.xml><?xml version="1.0" encoding="utf-8"?>
<cs:colorStyle xmlns:cs="http://schemas.microsoft.com/office/drawing/2012/chartStyle" xmlns:a="http://schemas.openxmlformats.org/drawingml/2006/main" meth="cycle" id="10">
  <a:schemeClr val="accent1"/>
  <a:schemeClr val="accent2"/>
  <a:schemeClr val="accent3"/>
  <a:schemeClr val="accent4"/>
  <a:schemeClr val="accent5"/>
  <a:schemeClr val="accent6"/>
  <cs:variation/>
  <cs:variation>
    <a:lumMod val="60000"/>
  </cs:variation>
  <cs:variation>
    <a:lumMod val="80000"/>
    <a:lumOff val="20000"/>
  </cs:variation>
  <cs:variation>
    <a:lumMod val="80000"/>
  </cs:variation>
  <cs:variation>
    <a:lumMod val="60000"/>
    <a:lumOff val="40000"/>
  </cs:variation>
  <cs:variation>
    <a:lumMod val="50000"/>
  </cs:variation>
  <cs:variation>
    <a:lumMod val="70000"/>
    <a:lumOff val="30000"/>
  </cs:variation>
  <cs:variation>
    <a:lumMod val="70000"/>
  </cs:variation>
  <cs:variation>
    <a:lumMod val="50000"/>
    <a:lumOff val="50000"/>
  </cs:variation>
</cs:colorStyle>
</file>

<file path=xl/charts/style1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3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4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5.xml><?xml version="1.0" encoding="utf-8"?>
<cs:chartStyle xmlns:cs="http://schemas.microsoft.com/office/drawing/2012/chartStyle" xmlns:a="http://schemas.openxmlformats.org/drawingml/2006/main" id="227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>
  <cs:dataPoint3D>
    <cs:lnRef idx="0"/>
    <cs:fillRef idx="1">
      <cs:styleClr val="auto"/>
    </cs:fillRef>
    <cs:effectRef idx="0"/>
    <cs:fontRef idx="minor">
      <a:schemeClr val="tx1"/>
    </cs:fontRef>
    <cs:spPr>
      <a:solidFill>
        <a:schemeClr val="phClr"/>
      </a:solidFill>
    </cs:spPr>
  </cs:dataPoint3D>
  <cs:dataPointLine>
    <cs:lnRef idx="0">
      <cs:styleClr val="auto"/>
    </cs:lnRef>
    <cs:fillRef idx="1"/>
    <cs:effectRef idx="0"/>
    <cs:fontRef idx="minor">
      <a:schemeClr val="tx1"/>
    </cs:fontRef>
    <cs:spPr>
      <a:ln w="28575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solidFill>
        <a:schemeClr val="phClr"/>
      </a:solidFill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1"/>
    <cs:effectRef idx="0"/>
    <cs:fontRef idx="minor">
      <a:schemeClr val="tx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dk1"/>
    </cs:fontRef>
    <cs:spPr>
      <a:solidFill>
        <a:schemeClr val="dk1">
          <a:lumMod val="65000"/>
          <a:lumOff val="35000"/>
        </a:schemeClr>
      </a:solidFill>
      <a:ln w="9525">
        <a:solidFill>
          <a:schemeClr val="tx1">
            <a:lumMod val="65000"/>
            <a:lumOff val="35000"/>
          </a:schemeClr>
        </a:solidFill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75000"/>
            <a:lumOff val="25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dk1"/>
    </cs:fontRef>
    <cs:spPr>
      <a:solidFill>
        <a:schemeClr val="lt1"/>
      </a:solidFill>
      <a:ln w="9525">
        <a:solidFill>
          <a:schemeClr val="tx1">
            <a:lumMod val="15000"/>
            <a:lumOff val="85000"/>
          </a:schemeClr>
        </a:solidFill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chart" Target="../charts/chart2.xml"/><Relationship Id="rId2" Type="http://schemas.openxmlformats.org/officeDocument/2006/relationships/chart" Target="../charts/chart1.xml"/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3" Type="http://schemas.openxmlformats.org/officeDocument/2006/relationships/chart" Target="../charts/chart5.xml"/><Relationship Id="rId2" Type="http://schemas.openxmlformats.org/officeDocument/2006/relationships/chart" Target="../charts/chart4.xml"/><Relationship Id="rId1" Type="http://schemas.openxmlformats.org/officeDocument/2006/relationships/chart" Target="../charts/chart3.xml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27</xdr:col>
      <xdr:colOff>368300</xdr:colOff>
      <xdr:row>2</xdr:row>
      <xdr:rowOff>84666</xdr:rowOff>
    </xdr:from>
    <xdr:ext cx="2477986" cy="4621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44C3B750-0E33-0C00-B4C1-C5EC833F205F}"/>
                </a:ext>
              </a:extLst>
            </xdr:cNvPr>
            <xdr:cNvSpPr txBox="1"/>
          </xdr:nvSpPr>
          <xdr:spPr>
            <a:xfrm>
              <a:off x="22830367" y="482599"/>
              <a:ext cx="2477986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𝑟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nary>
                      <m:naryPr>
                        <m:chr m:val="∑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</m:acc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)(</m:t>
                            </m:r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</m:acc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)</m:t>
                            </m:r>
                          </m:num>
                          <m:den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sub>
                            </m:sSub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𝑆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sub>
                            </m:sSub>
                          </m:den>
                        </m:f>
                      </m:e>
                    </m:nary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𝐶𝑜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𝑣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 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sub>
                        </m:sSub>
                      </m:num>
                      <m:den>
                        <m:rad>
                          <m:radPr>
                            <m:degHide m:val="on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radPr>
                          <m:deg/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𝑉𝑎</m:t>
                            </m:r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𝑟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sub>
                            </m:s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𝑉𝑎</m:t>
                            </m:r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𝑟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sub>
                            </m:sSub>
                          </m:e>
                        </m:rad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" name="TextBox 4">
              <a:extLst>
                <a:ext uri="{FF2B5EF4-FFF2-40B4-BE49-F238E27FC236}">
                  <a16:creationId xmlns:a16="http://schemas.microsoft.com/office/drawing/2014/main" id="{44C3B750-0E33-0C00-B4C1-C5EC833F205F}"/>
                </a:ext>
              </a:extLst>
            </xdr:cNvPr>
            <xdr:cNvSpPr txBox="1"/>
          </xdr:nvSpPr>
          <xdr:spPr>
            <a:xfrm>
              <a:off x="22830367" y="482599"/>
              <a:ext cx="2477986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𝑟=1/𝑛 ∑_(𝑖=1)^𝑛▒((𝑥_𝑖−𝑥 ̅)(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𝑦_𝑖−𝑦 ̅))/(</a:t>
              </a:r>
              <a:r>
                <a:rPr lang="en-GB" sz="1100" b="0" i="0">
                  <a:latin typeface="Cambria Math" panose="02040503050406030204" pitchFamily="18" charset="0"/>
                </a:rPr>
                <a:t>𝑆_𝑥 𝑆_𝑦 )=(𝐶𝑜𝑣_(𝑥 𝑦))/√(𝑉𝑎𝑟_𝑥 𝑉𝑎𝑟_𝑦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27</xdr:col>
      <xdr:colOff>407247</xdr:colOff>
      <xdr:row>5</xdr:row>
      <xdr:rowOff>47413</xdr:rowOff>
    </xdr:from>
    <xdr:ext cx="544443" cy="22006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5D45BF13-9238-2234-8C53-70E742EC5D5D}"/>
                </a:ext>
              </a:extLst>
            </xdr:cNvPr>
            <xdr:cNvSpPr txBox="1"/>
          </xdr:nvSpPr>
          <xdr:spPr>
            <a:xfrm>
              <a:off x="22869314" y="1004146"/>
              <a:ext cx="544443" cy="2200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𝑟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𝑅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6" name="TextBox 5">
              <a:extLst>
                <a:ext uri="{FF2B5EF4-FFF2-40B4-BE49-F238E27FC236}">
                  <a16:creationId xmlns:a16="http://schemas.microsoft.com/office/drawing/2014/main" id="{5D45BF13-9238-2234-8C53-70E742EC5D5D}"/>
                </a:ext>
              </a:extLst>
            </xdr:cNvPr>
            <xdr:cNvSpPr txBox="1"/>
          </xdr:nvSpPr>
          <xdr:spPr>
            <a:xfrm>
              <a:off x="22869314" y="1004146"/>
              <a:ext cx="544443" cy="22006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𝑟=√(𝑅^2 )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31</xdr:col>
      <xdr:colOff>426720</xdr:colOff>
      <xdr:row>2</xdr:row>
      <xdr:rowOff>22860</xdr:rowOff>
    </xdr:from>
    <xdr:to>
      <xdr:col>37</xdr:col>
      <xdr:colOff>182880</xdr:colOff>
      <xdr:row>6</xdr:row>
      <xdr:rowOff>167640</xdr:rowOff>
    </xdr:to>
    <xdr:pic>
      <xdr:nvPicPr>
        <xdr:cNvPr id="18" name="Picture 17">
          <a:extLst>
            <a:ext uri="{FF2B5EF4-FFF2-40B4-BE49-F238E27FC236}">
              <a16:creationId xmlns:a16="http://schemas.microsoft.com/office/drawing/2014/main" id="{F6326B0D-1DD3-7397-62CF-686000926583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clrChange>
            <a:clrFrom>
              <a:srgbClr val="FFFFFF"/>
            </a:clrFrom>
            <a:clrTo>
              <a:srgbClr val="FFFFFF">
                <a:alpha val="0"/>
              </a:srgbClr>
            </a:clrTo>
          </a:clrChange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25008840" y="419100"/>
          <a:ext cx="3413760" cy="8763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  <xdr:oneCellAnchor>
    <xdr:from>
      <xdr:col>27</xdr:col>
      <xdr:colOff>331047</xdr:colOff>
      <xdr:row>10</xdr:row>
      <xdr:rowOff>15240</xdr:rowOff>
    </xdr:from>
    <xdr:ext cx="3126625" cy="379078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EED6B630-8CAA-475D-24B0-339E5F580BA1}"/>
                </a:ext>
              </a:extLst>
            </xdr:cNvPr>
            <xdr:cNvSpPr txBox="1"/>
          </xdr:nvSpPr>
          <xdr:spPr>
            <a:xfrm>
              <a:off x="22793114" y="1920240"/>
              <a:ext cx="3126625" cy="3790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p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acc>
                                  <m:accPr>
                                    <m:chr m:val="̂"/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acc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acc>
                            <m:sSup>
                              <m:sSup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num>
                      <m:den>
                        <m:nary>
                          <m:naryPr>
                            <m:chr m:val="∑"/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=1</m:t>
                            </m:r>
                          </m:sub>
                          <m:sup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p>
                          <m:e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</m:acc>
                            <m:sSup>
                              <m:sSup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𝑆𝑆𝑅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𝑆𝑆𝑇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=1−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𝑆𝑆𝑇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𝑆𝑆𝑇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𝑆𝑆𝐸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𝑆𝑆𝑇</m:t>
                        </m:r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21" name="TextBox 20">
              <a:extLst>
                <a:ext uri="{FF2B5EF4-FFF2-40B4-BE49-F238E27FC236}">
                  <a16:creationId xmlns:a16="http://schemas.microsoft.com/office/drawing/2014/main" id="{EED6B630-8CAA-475D-24B0-339E5F580BA1}"/>
                </a:ext>
              </a:extLst>
            </xdr:cNvPr>
            <xdr:cNvSpPr txBox="1"/>
          </xdr:nvSpPr>
          <xdr:spPr>
            <a:xfrm>
              <a:off x="22793114" y="1920240"/>
              <a:ext cx="3126625" cy="379078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𝑅^2=(∑_(𝑖=1)^𝑛▒〖(𝑦 ̂_𝑖−𝑦 ̅)^2 〗)/(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∑_(𝑖=1)^𝑛▒〖(𝑦_𝑖−𝑦 ̅)^2 〗)</a:t>
              </a:r>
              <a:r>
                <a:rPr lang="en-GB" sz="1100" b="0" i="0">
                  <a:latin typeface="Cambria Math" panose="02040503050406030204" pitchFamily="18" charset="0"/>
                </a:rPr>
                <a:t>=𝑆𝑆𝑅/𝑆𝑆𝑇=1−𝑆𝑆𝐸/𝑆𝑆𝑇=(𝑆𝑆𝑇−𝑆𝑆𝐸)/𝑆𝑆𝑇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26</xdr:col>
      <xdr:colOff>447040</xdr:colOff>
      <xdr:row>15</xdr:row>
      <xdr:rowOff>7620</xdr:rowOff>
    </xdr:from>
    <xdr:ext cx="4719241" cy="55258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C957ABD1-2E7E-703F-0B7C-AFB611180F64}"/>
                </a:ext>
              </a:extLst>
            </xdr:cNvPr>
            <xdr:cNvSpPr txBox="1"/>
          </xdr:nvSpPr>
          <xdr:spPr>
            <a:xfrm>
              <a:off x="22299507" y="2860887"/>
              <a:ext cx="4719241" cy="552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𝐴𝑑𝑗𝑢𝑠𝑡𝑒𝑑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</m:t>
                    </m:r>
                    <m:sSup>
                      <m:sSup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p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𝑅</m:t>
                        </m:r>
                      </m:e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2</m:t>
                        </m:r>
                      </m:sup>
                    </m:sSup>
                    <m:r>
                      <a:rPr lang="en-GB" sz="1100" b="0" i="1">
                        <a:latin typeface="Cambria Math" panose="02040503050406030204" pitchFamily="18" charset="0"/>
                      </a:rPr>
                      <m:t>=1−</m:t>
                    </m:r>
                    <m:d>
                      <m:dPr>
                        <m:begChr m:val="["/>
                        <m:endChr m:val="]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d>
                          <m:dPr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1−</m:t>
                            </m:r>
                            <m:sSup>
                              <m:sSup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𝑅</m:t>
                                </m:r>
                              </m:e>
                              <m:sup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d>
                        <m:f>
                          <m:fPr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−1</m:t>
                            </m:r>
                          </m:num>
                          <m:den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−2</m:t>
                            </m:r>
                          </m:den>
                        </m:f>
                      </m:e>
                    </m:d>
                    <m:r>
                      <a:rPr lang="en-GB" sz="1100" b="0" i="1">
                        <a:latin typeface="Cambria Math" panose="02040503050406030204" pitchFamily="18" charset="0"/>
                      </a:rPr>
                      <m:t>=1−</m:t>
                    </m:r>
                    <m:d>
                      <m:dPr>
                        <m:begChr m:val="["/>
                        <m:endChr m:val="]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dPr>
                      <m:e>
                        <m:d>
                          <m:dPr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𝑆𝑆𝐸</m:t>
                                </m:r>
                              </m:num>
                              <m:den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𝑆𝑆𝑇</m:t>
                                </m:r>
                              </m:den>
                            </m:f>
                          </m:e>
                        </m:d>
                        <m:d>
                          <m:dPr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−1</m:t>
                                </m:r>
                              </m:num>
                              <m:den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−2</m:t>
                                </m:r>
                              </m:den>
                            </m:f>
                          </m:e>
                        </m:d>
                      </m:e>
                    </m:d>
                  </m:oMath>
                </m:oMathPara>
              </a14:m>
              <a:endParaRPr lang="en-GB">
                <a:effectLst/>
              </a:endParaRPr>
            </a:p>
            <a:p>
              <a:endParaRPr lang="en-GB" sz="1100"/>
            </a:p>
          </xdr:txBody>
        </xdr:sp>
      </mc:Choice>
      <mc:Fallback xmlns="">
        <xdr:sp macro="" textlink="">
          <xdr:nvSpPr>
            <xdr:cNvPr id="26" name="TextBox 25">
              <a:extLst>
                <a:ext uri="{FF2B5EF4-FFF2-40B4-BE49-F238E27FC236}">
                  <a16:creationId xmlns:a16="http://schemas.microsoft.com/office/drawing/2014/main" id="{C957ABD1-2E7E-703F-0B7C-AFB611180F64}"/>
                </a:ext>
              </a:extLst>
            </xdr:cNvPr>
            <xdr:cNvSpPr txBox="1"/>
          </xdr:nvSpPr>
          <xdr:spPr>
            <a:xfrm>
              <a:off x="22299507" y="2860887"/>
              <a:ext cx="4719241" cy="55258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 marL="0" marR="0" lvl="0" indent="0" defTabSz="914400" eaLnBrk="1" fontAlgn="auto" latinLnBrk="0" hangingPunct="1">
                <a:lnSpc>
                  <a:spcPct val="100000"/>
                </a:lnSpc>
                <a:spcBef>
                  <a:spcPts val="0"/>
                </a:spcBef>
                <a:spcAft>
                  <a:spcPts val="0"/>
                </a:spcAft>
                <a:buClrTx/>
                <a:buSzTx/>
                <a:buFontTx/>
                <a:buNone/>
                <a:tabLst/>
                <a:defRPr/>
              </a:pPr>
              <a:r>
                <a:rPr lang="en-GB" sz="1100" b="0" i="0">
                  <a:latin typeface="Cambria Math" panose="02040503050406030204" pitchFamily="18" charset="0"/>
                </a:rPr>
                <a:t>𝐴𝑑𝑗𝑢𝑠𝑡𝑒𝑑 𝑅^2=1−[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(1−𝑅^2 )  (𝑛−1)/(𝑛−2)]</a:t>
              </a:r>
              <a:r>
                <a:rPr lang="en-GB" sz="1100" b="0" i="0">
                  <a:latin typeface="Cambria Math" panose="02040503050406030204" pitchFamily="18" charset="0"/>
                </a:rPr>
                <a:t>=1−[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(𝑆𝑆𝐸/𝑆𝑆𝑇)((𝑛−1)/(𝑛−2))]</a:t>
              </a:r>
              <a:endParaRPr lang="en-GB">
                <a:effectLst/>
              </a:endParaRPr>
            </a:p>
            <a:p>
              <a:endParaRPr lang="en-GB" sz="1100"/>
            </a:p>
          </xdr:txBody>
        </xdr:sp>
      </mc:Fallback>
    </mc:AlternateContent>
    <xdr:clientData/>
  </xdr:oneCellAnchor>
  <xdr:oneCellAnchor>
    <xdr:from>
      <xdr:col>27</xdr:col>
      <xdr:colOff>361527</xdr:colOff>
      <xdr:row>18</xdr:row>
      <xdr:rowOff>166794</xdr:rowOff>
    </xdr:from>
    <xdr:ext cx="2536977" cy="50635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D55C44BF-3CC0-3143-A72E-C523111FFAF3}"/>
                </a:ext>
              </a:extLst>
            </xdr:cNvPr>
            <xdr:cNvSpPr txBox="1"/>
          </xdr:nvSpPr>
          <xdr:spPr>
            <a:xfrm>
              <a:off x="22823594" y="3587327"/>
              <a:ext cx="2536977" cy="5063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𝑆𝐸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=</m:t>
                                </m:r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(</m:t>
                                </m:r>
                                <m:sSub>
                                  <m:sSub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𝑦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−</m:t>
                                </m:r>
                                <m:sSub>
                                  <m:sSub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acc>
                                      <m:accPr>
                                        <m:chr m:val="̂"/>
                                        <m:ctrlPr>
                                          <a:rPr lang="en-GB" sz="1100" b="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accPr>
                                      <m:e>
                                        <m:r>
                                          <a:rPr lang="en-GB" sz="1100" b="0" i="1">
                                            <a:latin typeface="Cambria Math" panose="02040503050406030204" pitchFamily="18" charset="0"/>
                                          </a:rPr>
                                          <m:t>𝑦</m:t>
                                        </m:r>
                                      </m:e>
                                    </m:acc>
                                  </m:e>
                                  <m:sub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𝑖</m:t>
                                    </m:r>
                                  </m:sub>
                                </m:sSub>
                                <m:sSup>
                                  <m:sSup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nary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−2</m:t>
                            </m:r>
                          </m:den>
                        </m:f>
                      </m:e>
                    </m:rad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𝑆𝑆𝐸</m:t>
                            </m:r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−2</m:t>
                            </m:r>
                          </m:den>
                        </m:f>
                      </m:e>
                    </m:rad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𝑀𝑆𝐸</m:t>
                        </m:r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30" name="TextBox 29">
              <a:extLst>
                <a:ext uri="{FF2B5EF4-FFF2-40B4-BE49-F238E27FC236}">
                  <a16:creationId xmlns:a16="http://schemas.microsoft.com/office/drawing/2014/main" id="{D55C44BF-3CC0-3143-A72E-C523111FFAF3}"/>
                </a:ext>
              </a:extLst>
            </xdr:cNvPr>
            <xdr:cNvSpPr txBox="1"/>
          </xdr:nvSpPr>
          <xdr:spPr>
            <a:xfrm>
              <a:off x="22823594" y="3587327"/>
              <a:ext cx="2536977" cy="50635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𝑆𝐸=√((∑_(𝑖=1)^𝑛▒〖(𝑦_𝑖−𝑦 ̂_𝑖 )^2 〗)/(𝑛−2))=√(𝑆𝑆𝐸/(𝑛−2))=√𝑀𝑆𝐸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27</xdr:col>
      <xdr:colOff>362360</xdr:colOff>
      <xdr:row>29</xdr:row>
      <xdr:rowOff>46566</xdr:rowOff>
    </xdr:from>
    <xdr:ext cx="1192506" cy="46211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76BC61AF-EFF1-F2C8-7CA3-6FDAE36228E0}"/>
                </a:ext>
              </a:extLst>
            </xdr:cNvPr>
            <xdr:cNvSpPr txBox="1"/>
          </xdr:nvSpPr>
          <xdr:spPr>
            <a:xfrm>
              <a:off x="22917560" y="5656791"/>
              <a:ext cx="1192506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𝑆𝑆𝑅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(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acc>
                              <m:accPr>
                                <m:chr m:val="̂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acc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acc>
                          <m:accPr>
                            <m:chr m:val="̅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acc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e>
                    </m:nary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32" name="TextBox 31">
              <a:extLst>
                <a:ext uri="{FF2B5EF4-FFF2-40B4-BE49-F238E27FC236}">
                  <a16:creationId xmlns:a16="http://schemas.microsoft.com/office/drawing/2014/main" id="{76BC61AF-EFF1-F2C8-7CA3-6FDAE36228E0}"/>
                </a:ext>
              </a:extLst>
            </xdr:cNvPr>
            <xdr:cNvSpPr txBox="1"/>
          </xdr:nvSpPr>
          <xdr:spPr>
            <a:xfrm>
              <a:off x="22917560" y="5656791"/>
              <a:ext cx="1192506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𝑆𝑆𝑅=∑_(𝑖=1)^𝑛▒〖(𝑦 ̂_𝑖−𝑦 ̅)^2 〗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28</xdr:col>
      <xdr:colOff>358141</xdr:colOff>
      <xdr:row>31</xdr:row>
      <xdr:rowOff>52493</xdr:rowOff>
    </xdr:from>
    <xdr:ext cx="1230850" cy="46211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AFAFF2EC-25C8-4745-B93B-3B717BE52F0E}"/>
                </a:ext>
              </a:extLst>
            </xdr:cNvPr>
            <xdr:cNvSpPr txBox="1"/>
          </xdr:nvSpPr>
          <xdr:spPr>
            <a:xfrm>
              <a:off x="23522941" y="6043718"/>
              <a:ext cx="123085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𝑆𝑆𝐸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(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acc>
                              <m:accPr>
                                <m:chr m:val="̂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acc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acc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e>
                    </m:nary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33" name="TextBox 32">
              <a:extLst>
                <a:ext uri="{FF2B5EF4-FFF2-40B4-BE49-F238E27FC236}">
                  <a16:creationId xmlns:a16="http://schemas.microsoft.com/office/drawing/2014/main" id="{AFAFF2EC-25C8-4745-B93B-3B717BE52F0E}"/>
                </a:ext>
              </a:extLst>
            </xdr:cNvPr>
            <xdr:cNvSpPr txBox="1"/>
          </xdr:nvSpPr>
          <xdr:spPr>
            <a:xfrm>
              <a:off x="23522941" y="6043718"/>
              <a:ext cx="1230850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𝑆𝑆𝐸=∑_(𝑖=1)^𝑛▒〖(𝑦_𝑖−𝑦 ̂_𝑖 )^2 〗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27</xdr:col>
      <xdr:colOff>331880</xdr:colOff>
      <xdr:row>33</xdr:row>
      <xdr:rowOff>63500</xdr:rowOff>
    </xdr:from>
    <xdr:ext cx="2023567" cy="46211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9EA05E5D-99D9-40FF-A2D7-7631AE41BF51}"/>
                </a:ext>
              </a:extLst>
            </xdr:cNvPr>
            <xdr:cNvSpPr txBox="1"/>
          </xdr:nvSpPr>
          <xdr:spPr>
            <a:xfrm>
              <a:off x="22887080" y="6435725"/>
              <a:ext cx="2023567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𝑆𝑆𝑇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nary>
                      <m:naryPr>
                        <m:chr m:val="∑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naryPr>
                      <m:sub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𝑖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=</m:t>
                        </m:r>
                        <m:r>
                          <m:rPr>
                            <m:brk m:alnAt="23"/>
                          </m:rPr>
                          <a:rPr lang="en-GB" sz="1100" b="0" i="1">
                            <a:latin typeface="Cambria Math" panose="02040503050406030204" pitchFamily="18" charset="0"/>
                          </a:rPr>
                          <m:t>1</m:t>
                        </m:r>
                      </m:sub>
                      <m:sup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sup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(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</m:sub>
                        </m:s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acc>
                          <m:accPr>
                            <m:chr m:val="̅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acc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acc>
                        <m:sSup>
                          <m:sSup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p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)</m:t>
                            </m:r>
                          </m:e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2</m:t>
                            </m:r>
                          </m:sup>
                        </m:sSup>
                      </m:e>
                    </m:nary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𝑆𝑆𝑅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+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𝑆𝑆𝐸</m:t>
                    </m:r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34" name="TextBox 33">
              <a:extLst>
                <a:ext uri="{FF2B5EF4-FFF2-40B4-BE49-F238E27FC236}">
                  <a16:creationId xmlns:a16="http://schemas.microsoft.com/office/drawing/2014/main" id="{9EA05E5D-99D9-40FF-A2D7-7631AE41BF51}"/>
                </a:ext>
              </a:extLst>
            </xdr:cNvPr>
            <xdr:cNvSpPr txBox="1"/>
          </xdr:nvSpPr>
          <xdr:spPr>
            <a:xfrm>
              <a:off x="22887080" y="6435725"/>
              <a:ext cx="2023567" cy="4621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𝑆𝑆𝑇=∑_(𝑖=1)^𝑛▒〖(𝑦_𝑖−𝑦 ̅)^2 〗=𝑆𝑆𝑅+𝑆𝑆𝐸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26</xdr:col>
      <xdr:colOff>190275</xdr:colOff>
      <xdr:row>39</xdr:row>
      <xdr:rowOff>168063</xdr:rowOff>
    </xdr:from>
    <xdr:ext cx="1089722" cy="266035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ADE9172C-ABB7-4CE2-9992-B538ADB885EC}"/>
                </a:ext>
              </a:extLst>
            </xdr:cNvPr>
            <xdr:cNvSpPr txBox="1"/>
          </xdr:nvSpPr>
          <xdr:spPr>
            <a:xfrm>
              <a:off x="22135875" y="7683288"/>
              <a:ext cx="1089722" cy="2660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/>
                <a:t>M</a:t>
              </a:r>
              <a14:m>
                <m:oMath xmlns:m="http://schemas.openxmlformats.org/officeDocument/2006/math">
                  <m:r>
                    <a:rPr lang="en-GB" sz="1100" b="0" i="1">
                      <a:latin typeface="Cambria Math" panose="02040503050406030204" pitchFamily="18" charset="0"/>
                    </a:rPr>
                    <m:t>𝑆𝐸</m:t>
                  </m:r>
                  <m:r>
                    <a:rPr lang="en-GB" sz="1100" b="0" i="1">
                      <a:latin typeface="Cambria Math" panose="02040503050406030204" pitchFamily="18" charset="0"/>
                    </a:rPr>
                    <m:t>=</m:t>
                  </m:r>
                  <m:f>
                    <m:fPr>
                      <m:ctrlPr>
                        <a:rPr lang="en-GB" sz="1100" b="0" i="1">
                          <a:latin typeface="Cambria Math" panose="02040503050406030204" pitchFamily="18" charset="0"/>
                        </a:rPr>
                      </m:ctrlPr>
                    </m:fPr>
                    <m:num>
                      <m:nary>
                        <m:naryPr>
                          <m:chr m:val="∑"/>
                          <m:ctrlPr>
                            <a:rPr lang="en-GB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naryPr>
                        <m:sub>
                          <m:r>
                            <m:rPr>
                              <m:brk m:alnAt="23"/>
                            </m:rPr>
                            <a:rPr lang="en-GB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𝑖</m:t>
                          </m:r>
                          <m:r>
                            <a:rPr lang="en-GB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=1</m:t>
                          </m:r>
                        </m:sub>
                        <m:sup>
                          <m:r>
                            <a:rPr lang="en-GB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𝑛</m:t>
                          </m:r>
                        </m:sup>
                        <m:e>
                          <m:r>
                            <a:rPr lang="en-GB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(</m:t>
                          </m:r>
                          <m:sSub>
                            <m:sSubPr>
                              <m:ctrlP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e>
                            <m:sub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  <m:r>
                            <a:rPr lang="en-GB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  <m:t>−</m:t>
                          </m:r>
                          <m:sSub>
                            <m:sSubPr>
                              <m:ctrlP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acc>
                                <m:accPr>
                                  <m:chr m:val="̂"/>
                                  <m:ctrlPr>
                                    <a:rPr lang="en-GB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</m:ctrlPr>
                                </m:accPr>
                                <m:e>
                                  <m:r>
                                    <a:rPr lang="en-GB" sz="1100" b="0" i="1">
                                      <a:solidFill>
                                        <a:schemeClr val="tx1"/>
                                      </a:solidFill>
                                      <a:effectLst/>
                                      <a:latin typeface="Cambria Math" panose="02040503050406030204" pitchFamily="18" charset="0"/>
                                      <a:ea typeface="+mn-ea"/>
                                      <a:cs typeface="+mn-cs"/>
                                    </a:rPr>
                                    <m:t>𝑦</m:t>
                                  </m:r>
                                </m:e>
                              </m:acc>
                            </m:e>
                            <m:sub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𝑖</m:t>
                              </m:r>
                            </m:sub>
                          </m:sSub>
                          <m:sSup>
                            <m:sSupPr>
                              <m:ctrlP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pPr>
                            <m:e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)</m:t>
                              </m:r>
                            </m:e>
                            <m:sup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2</m:t>
                              </m:r>
                            </m:sup>
                          </m:sSup>
                        </m:e>
                      </m:nary>
                    </m:num>
                    <m:den>
                      <m:r>
                        <a:rPr lang="en-GB" sz="1100" b="0" i="1">
                          <a:latin typeface="Cambria Math" panose="02040503050406030204" pitchFamily="18" charset="0"/>
                        </a:rPr>
                        <m:t>𝑛</m:t>
                      </m:r>
                      <m:r>
                        <a:rPr lang="en-GB" sz="1100" b="0" i="1">
                          <a:latin typeface="Cambria Math" panose="02040503050406030204" pitchFamily="18" charset="0"/>
                        </a:rPr>
                        <m:t>−2</m:t>
                      </m:r>
                    </m:den>
                  </m:f>
                </m:oMath>
              </a14:m>
              <a:endParaRPr lang="en-GB" sz="1100"/>
            </a:p>
          </xdr:txBody>
        </xdr:sp>
      </mc:Choice>
      <mc:Fallback>
        <xdr:sp macro="" textlink="">
          <xdr:nvSpPr>
            <xdr:cNvPr id="35" name="TextBox 34">
              <a:extLst>
                <a:ext uri="{FF2B5EF4-FFF2-40B4-BE49-F238E27FC236}">
                  <a16:creationId xmlns:a16="http://schemas.microsoft.com/office/drawing/2014/main" id="{ADE9172C-ABB7-4CE2-9992-B538ADB885EC}"/>
                </a:ext>
              </a:extLst>
            </xdr:cNvPr>
            <xdr:cNvSpPr txBox="1"/>
          </xdr:nvSpPr>
          <xdr:spPr>
            <a:xfrm>
              <a:off x="22135875" y="7683288"/>
              <a:ext cx="1089722" cy="26603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/>
                <a:t>M</a:t>
              </a:r>
              <a:r>
                <a:rPr lang="en-GB" sz="1100" b="0" i="0">
                  <a:latin typeface="Cambria Math" panose="02040503050406030204" pitchFamily="18" charset="0"/>
                </a:rPr>
                <a:t>𝑆𝐸=(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∑_(𝑖=1)^𝑛▒〖(𝑦_𝑖−𝑦 ̂_𝑖 )^2 〗)/(</a:t>
              </a:r>
              <a:r>
                <a:rPr lang="en-GB" sz="1100" b="0" i="0">
                  <a:latin typeface="Cambria Math" panose="02040503050406030204" pitchFamily="18" charset="0"/>
                </a:rPr>
                <a:t>𝑛−2)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29</xdr:col>
      <xdr:colOff>102857</xdr:colOff>
      <xdr:row>43</xdr:row>
      <xdr:rowOff>122343</xdr:rowOff>
    </xdr:from>
    <xdr:ext cx="574516" cy="316882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150FD9B6-FE7F-CF8D-2A6C-ED936096109D}"/>
                </a:ext>
              </a:extLst>
            </xdr:cNvPr>
            <xdr:cNvSpPr txBox="1"/>
          </xdr:nvSpPr>
          <xdr:spPr>
            <a:xfrm>
              <a:off x="23877257" y="8399568"/>
              <a:ext cx="57451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m:rPr>
                        <m:sty m:val="p"/>
                      </m:rPr>
                      <a:rPr lang="en-GB" sz="1100" b="0" i="0">
                        <a:latin typeface="Cambria Math" panose="02040503050406030204" pitchFamily="18" charset="0"/>
                      </a:rPr>
                      <m:t>F</m:t>
                    </m:r>
                    <m:r>
                      <a:rPr lang="en-GB" sz="1100" b="0" i="0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𝑀𝑆𝑅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𝑀𝑆𝐸</m:t>
                        </m:r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36" name="TextBox 35">
              <a:extLst>
                <a:ext uri="{FF2B5EF4-FFF2-40B4-BE49-F238E27FC236}">
                  <a16:creationId xmlns:a16="http://schemas.microsoft.com/office/drawing/2014/main" id="{150FD9B6-FE7F-CF8D-2A6C-ED936096109D}"/>
                </a:ext>
              </a:extLst>
            </xdr:cNvPr>
            <xdr:cNvSpPr txBox="1"/>
          </xdr:nvSpPr>
          <xdr:spPr>
            <a:xfrm>
              <a:off x="23877257" y="8399568"/>
              <a:ext cx="574516" cy="316882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F=𝑀𝑆𝑅/𝑀𝑆𝐸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26</xdr:col>
      <xdr:colOff>236630</xdr:colOff>
      <xdr:row>36</xdr:row>
      <xdr:rowOff>68368</xdr:rowOff>
    </xdr:from>
    <xdr:ext cx="2196306" cy="374077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28247346-648B-2DC4-7BE9-EF52B2C8C796}"/>
                </a:ext>
              </a:extLst>
            </xdr:cNvPr>
            <xdr:cNvSpPr txBox="1"/>
          </xdr:nvSpPr>
          <xdr:spPr>
            <a:xfrm>
              <a:off x="22182230" y="7012093"/>
              <a:ext cx="2196306" cy="3740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𝑀𝑆𝑅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𝑆𝑆𝑅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−(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−1)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p>
                          <m:e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acc>
                                  <m:accPr>
                                    <m:chr m:val="̂"/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acc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𝑦</m:t>
                                    </m:r>
                                  </m:e>
                                </m:acc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acc>
                              <m:accPr>
                                <m:chr m:val="̅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acc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𝑦</m:t>
                                </m:r>
                              </m:e>
                            </m:acc>
                            <m:sSup>
                              <m:sSup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num>
                      <m:den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−(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𝑛</m:t>
                        </m:r>
                        <m:r>
                          <a:rPr lang="en-GB" sz="1100" b="0" i="1">
                            <a:solidFill>
                              <a:schemeClr val="tx1"/>
                            </a:solidFill>
                            <a:effectLst/>
                            <a:latin typeface="Cambria Math" panose="02040503050406030204" pitchFamily="18" charset="0"/>
                            <a:ea typeface="+mn-ea"/>
                            <a:cs typeface="+mn-cs"/>
                          </a:rPr>
                          <m:t>−1)</m:t>
                        </m:r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37" name="TextBox 36">
              <a:extLst>
                <a:ext uri="{FF2B5EF4-FFF2-40B4-BE49-F238E27FC236}">
                  <a16:creationId xmlns:a16="http://schemas.microsoft.com/office/drawing/2014/main" id="{28247346-648B-2DC4-7BE9-EF52B2C8C796}"/>
                </a:ext>
              </a:extLst>
            </xdr:cNvPr>
            <xdr:cNvSpPr txBox="1"/>
          </xdr:nvSpPr>
          <xdr:spPr>
            <a:xfrm>
              <a:off x="22182230" y="7012093"/>
              <a:ext cx="2196306" cy="37407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𝑀𝑆𝑅=𝑆𝑆𝑅/(𝑛−(𝑛−1))=(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∑_(𝑖=1)^𝑛▒〖(𝑦 ̂_𝑖−𝑦 ̅)^2 〗)/(𝑛−(𝑛−1))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26</xdr:col>
      <xdr:colOff>344171</xdr:colOff>
      <xdr:row>48</xdr:row>
      <xdr:rowOff>45719</xdr:rowOff>
    </xdr:from>
    <xdr:ext cx="2376805" cy="332014"/>
    <mc:AlternateContent xmlns:mc="http://schemas.openxmlformats.org/markup-compatibility/2006">
      <mc:Choice xmlns:a14="http://schemas.microsoft.com/office/drawing/2010/main" Requires="a14">
        <xdr:sp macro="" textlink="">
          <xdr:nvSpPr>
            <xdr:cNvPr id="42" name="TextBox 41">
              <a:extLst>
                <a:ext uri="{FF2B5EF4-FFF2-40B4-BE49-F238E27FC236}">
                  <a16:creationId xmlns:a16="http://schemas.microsoft.com/office/drawing/2014/main" id="{77F93DFA-3958-48C9-FB48-EF9B87F65672}"/>
                </a:ext>
              </a:extLst>
            </xdr:cNvPr>
            <xdr:cNvSpPr txBox="1"/>
          </xdr:nvSpPr>
          <xdr:spPr>
            <a:xfrm>
              <a:off x="22289771" y="9275444"/>
              <a:ext cx="2376805" cy="3320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𝑦</m:t>
                            </m:r>
                          </m:e>
                        </m:nary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−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</m:t>
                            </m:r>
                          </m:e>
                        </m:nary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−(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𝑏</m:t>
                            </m:r>
                            <m:nary>
                              <m:naryPr>
                                <m:chr m:val="∑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=</m:t>
                                </m:r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sub>
                              <m:sup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sup>
                              <m:e>
                                <m:sSub>
                                  <m:sSub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𝑖</m:t>
                                    </m:r>
                                  </m:sub>
                                </m:s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)</m:t>
                                </m:r>
                              </m:e>
                            </m:nary>
                          </m:e>
                        </m:nary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>
        <xdr:sp macro="" textlink="">
          <xdr:nvSpPr>
            <xdr:cNvPr id="42" name="TextBox 41">
              <a:extLst>
                <a:ext uri="{FF2B5EF4-FFF2-40B4-BE49-F238E27FC236}">
                  <a16:creationId xmlns:a16="http://schemas.microsoft.com/office/drawing/2014/main" id="{77F93DFA-3958-48C9-FB48-EF9B87F65672}"/>
                </a:ext>
              </a:extLst>
            </xdr:cNvPr>
            <xdr:cNvSpPr txBox="1"/>
          </xdr:nvSpPr>
          <xdr:spPr>
            <a:xfrm>
              <a:off x="22289771" y="9275444"/>
              <a:ext cx="2376805" cy="3320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𝑎=(∑▒𝑦)/𝑛−𝑏 (∑▒𝑥)/𝑛=(∑_(𝑖=1)^𝑛▒〖𝑦_𝑖−(𝑏∑_(𝑖=1)^𝑛▒〖𝑥_𝑖)〗〗)/𝑛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31</xdr:col>
      <xdr:colOff>538692</xdr:colOff>
      <xdr:row>51</xdr:row>
      <xdr:rowOff>6773</xdr:rowOff>
    </xdr:from>
    <xdr:ext cx="3196965" cy="59067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DA1FDFD6-0B31-885F-9D56-BC6DB52C4E4F}"/>
                </a:ext>
              </a:extLst>
            </xdr:cNvPr>
            <xdr:cNvSpPr txBox="1"/>
          </xdr:nvSpPr>
          <xdr:spPr>
            <a:xfrm>
              <a:off x="25446567" y="9865148"/>
              <a:ext cx="3196965" cy="590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𝑥𝑦</m:t>
                            </m:r>
                          </m:e>
                        </m:nary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</m:t>
                        </m:r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</m:nary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</m:nary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</m:num>
                      <m:den>
                        <m:nary>
                          <m:naryPr>
                            <m:chr m:val="∑"/>
                            <m:subHide m:val="on"/>
                            <m:supHide m:val="on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/>
                          <m:sup/>
                          <m:e>
                            <m:sSup>
                              <m:sSup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p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p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</m:t>
                            </m:r>
                          </m:e>
                        </m:nary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(</m:t>
                            </m:r>
                            <m:nary>
                              <m:naryPr>
                                <m:chr m:val="∑"/>
                                <m:subHide m:val="on"/>
                                <m:supHide m:val="on"/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naryPr>
                              <m:sub/>
                              <m:sup/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  <m:sSup>
                                  <m:sSup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nary>
                          </m:num>
                          <m:den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den>
                        </m:f>
                      </m:den>
                    </m:f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nary>
                          <m:naryPr>
                            <m:chr m:val="∑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sSub>
                              <m:sSub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𝑦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</m:s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−(</m:t>
                            </m:r>
                            <m:nary>
                              <m:naryPr>
                                <m:chr m:val="∑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p>
                              <m:e>
                                <m:sSub>
                                  <m:sSub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𝑥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  <m:nary>
                                  <m:naryPr>
                                    <m:chr m:val="∑"/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naryPr>
                                  <m:sub>
                                    <m:r>
                                      <m:rPr>
                                        <m:brk m:alnAt="23"/>
                                      </m:r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=1</m:t>
                                    </m:r>
                                  </m:sub>
                                  <m:sup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𝑛</m:t>
                                    </m:r>
                                  </m:sup>
                                  <m:e>
                                    <m:sSub>
                                      <m:sSubPr>
                                        <m:ctrlP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𝑦</m:t>
                                        </m:r>
                                      </m:e>
                                      <m:sub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</m:e>
                                </m:nary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</m:t>
                                </m:r>
                              </m:e>
                            </m:nary>
                          </m:e>
                        </m:nary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𝑛</m:t>
                        </m:r>
                        <m:nary>
                          <m:naryPr>
                            <m:chr m:val="∑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𝑖</m:t>
                            </m:r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=</m:t>
                            </m:r>
                            <m:r>
                              <m:rPr>
                                <m:brk m:alnAt="23"/>
                              </m:rPr>
                              <a:rPr lang="en-GB" sz="1100" b="0" i="1">
                                <a:latin typeface="Cambria Math" panose="02040503050406030204" pitchFamily="18" charset="0"/>
                              </a:rPr>
                              <m:t>1</m:t>
                            </m:r>
                          </m:sub>
                          <m:sup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𝑛</m:t>
                            </m:r>
                          </m:sup>
                          <m:e>
                            <m:sSubSup>
                              <m:sSubSup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sSubSupPr>
                              <m:e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𝑖</m:t>
                                </m:r>
                              </m:sub>
                              <m:sup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2</m:t>
                                </m:r>
                              </m:sup>
                            </m:sSubSup>
                          </m:e>
                        </m:nary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−(</m:t>
                        </m:r>
                        <m:nary>
                          <m:naryPr>
                            <m:chr m:val="∑"/>
                            <m:ctrl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</m:ctrlPr>
                          </m:naryPr>
                          <m:sub>
                            <m:r>
                              <m:rPr>
                                <m:brk m:alnAt="23"/>
                              </m:rP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𝑖</m:t>
                            </m:r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=1</m:t>
                            </m:r>
                          </m:sub>
                          <m:sup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𝑛</m:t>
                            </m:r>
                          </m:sup>
                          <m:e>
                            <m:sSub>
                              <m:sSub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b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𝑥</m:t>
                                </m:r>
                              </m:e>
                              <m:sub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</m:sub>
                            </m:sSub>
                            <m:sSup>
                              <m:sSup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sSupPr>
                              <m:e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)</m:t>
                                </m:r>
                              </m:e>
                              <m:sup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2</m:t>
                                </m:r>
                              </m:sup>
                            </m:sSup>
                          </m:e>
                        </m:nary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3" name="TextBox 42">
              <a:extLst>
                <a:ext uri="{FF2B5EF4-FFF2-40B4-BE49-F238E27FC236}">
                  <a16:creationId xmlns:a16="http://schemas.microsoft.com/office/drawing/2014/main" id="{DA1FDFD6-0B31-885F-9D56-BC6DB52C4E4F}"/>
                </a:ext>
              </a:extLst>
            </xdr:cNvPr>
            <xdr:cNvSpPr txBox="1"/>
          </xdr:nvSpPr>
          <xdr:spPr>
            <a:xfrm>
              <a:off x="25446567" y="9865148"/>
              <a:ext cx="3196965" cy="59067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𝑏=(∑▒𝑥𝑦−(∑▒𝑥 ∑▒𝑦)/𝑛)/(∑▒〖𝑥^2−〗  ((∑▒〖𝑥)^2 〗)/𝑛)=(𝑛∑_(𝑖=1)^𝑛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▒〖</a:t>
              </a:r>
              <a:r>
                <a:rPr lang="en-GB" sz="1100" b="0" i="0">
                  <a:latin typeface="Cambria Math" panose="02040503050406030204" pitchFamily="18" charset="0"/>
                </a:rPr>
                <a:t>𝑥_𝑖 𝑦_𝑖−(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∑_(𝑖=1)^𝑛▒〖𝑥_𝑖 ∑_(𝑖=1)^𝑛▒𝑦_𝑖 )〗〗)/(</a:t>
              </a:r>
              <a:r>
                <a:rPr lang="en-GB" sz="1100" b="0" i="0">
                  <a:latin typeface="Cambria Math" panose="02040503050406030204" pitchFamily="18" charset="0"/>
                </a:rPr>
                <a:t>𝑛∑_(𝑖=1)^𝑛▒𝑥_𝑖^2 −(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∑_(𝑖=1)^𝑛▒〖𝑥_𝑖 )^2 〗)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32</xdr:col>
      <xdr:colOff>407036</xdr:colOff>
      <xdr:row>54</xdr:row>
      <xdr:rowOff>22648</xdr:rowOff>
    </xdr:from>
    <xdr:ext cx="2646687" cy="658514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DA75D7C6-9CDD-0AD7-3C76-04BF2611C2DB}"/>
                </a:ext>
              </a:extLst>
            </xdr:cNvPr>
            <xdr:cNvSpPr txBox="1"/>
          </xdr:nvSpPr>
          <xdr:spPr>
            <a:xfrm>
              <a:off x="26010236" y="10404898"/>
              <a:ext cx="2646687" cy="6585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𝑆𝐸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𝑀𝑆𝐸</m:t>
                        </m:r>
                        <m:d>
                          <m:dPr>
                            <m:begChr m:val="["/>
                            <m:endChr m:val="]"/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  <m:t>𝑛</m:t>
                                </m:r>
                              </m:den>
                            </m:f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+</m:t>
                            </m:r>
                            <m:f>
                              <m:f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sSup>
                                  <m:sSup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pPr>
                                  <m:e>
                                    <m:acc>
                                      <m:accPr>
                                        <m:chr m:val="̅"/>
                                        <m:ctrlPr>
                                          <a:rPr lang="en-GB" sz="1100" b="0" i="1">
                                            <a:latin typeface="Cambria Math" panose="02040503050406030204" pitchFamily="18" charset="0"/>
                                          </a:rPr>
                                        </m:ctrlPr>
                                      </m:accPr>
                                      <m:e>
                                        <m:r>
                                          <a:rPr lang="en-GB" sz="1100" b="0" i="1">
                                            <a:latin typeface="Cambria Math" panose="02040503050406030204" pitchFamily="18" charset="0"/>
                                          </a:rPr>
                                          <m:t>𝑥</m:t>
                                        </m:r>
                                      </m:e>
                                    </m:acc>
                                  </m:e>
                                  <m:sup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2</m:t>
                                    </m:r>
                                  </m:sup>
                                </m:sSup>
                              </m:num>
                              <m:den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  <m:nary>
                                  <m:naryPr>
                                    <m:chr m:val="∑"/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naryPr>
                                  <m:sub>
                                    <m:r>
                                      <m:rPr>
                                        <m:brk m:alnAt="23"/>
                                      </m:r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=1</m:t>
                                    </m:r>
                                  </m:sub>
                                  <m:sup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𝑛</m:t>
                                    </m:r>
                                  </m:sup>
                                  <m:e>
                                    <m:sSubSup>
                                      <m:sSubSupPr>
                                        <m:ctrlP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SupPr>
                                      <m:e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𝑥</m:t>
                                        </m:r>
                                      </m:e>
                                      <m:sub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  <m:sup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bSup>
                                  </m:e>
                                </m:nary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−</m:t>
                                </m:r>
                                <m:f>
                                  <m:f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fPr>
                                  <m:num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1</m:t>
                                    </m:r>
                                  </m:num>
                                  <m:den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𝑛</m:t>
                                    </m:r>
                                  </m:den>
                                </m:f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(</m:t>
                                </m:r>
                                <m:nary>
                                  <m:naryPr>
                                    <m:chr m:val="∑"/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naryPr>
                                  <m:sub>
                                    <m:r>
                                      <m:rPr>
                                        <m:brk m:alnAt="23"/>
                                      </m:r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=1</m:t>
                                    </m:r>
                                  </m:sub>
                                  <m:sup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𝑛</m:t>
                                    </m:r>
                                  </m:sup>
                                  <m:e>
                                    <m:sSub>
                                      <m:sSubPr>
                                        <m:ctrlP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bPr>
                                      <m:e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𝑥</m:t>
                                        </m:r>
                                      </m:e>
                                      <m:sub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𝑖</m:t>
                                        </m:r>
                                      </m:sub>
                                    </m:sSub>
                                    <m:sSup>
                                      <m:sSupPr>
                                        <m:ctrlP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</m:ctrlPr>
                                      </m:sSupPr>
                                      <m:e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)</m:t>
                                        </m:r>
                                      </m:e>
                                      <m:sup>
                                        <m:r>
                                          <a:rPr lang="en-GB" sz="1100" b="0" i="1">
                                            <a:solidFill>
                                              <a:schemeClr val="tx1"/>
                                            </a:solidFill>
                                            <a:effectLst/>
                                            <a:latin typeface="Cambria Math" panose="02040503050406030204" pitchFamily="18" charset="0"/>
                                            <a:ea typeface="+mn-ea"/>
                                            <a:cs typeface="+mn-cs"/>
                                          </a:rPr>
                                          <m:t>2</m:t>
                                        </m:r>
                                      </m:sup>
                                    </m:sSup>
                                  </m:e>
                                </m:nary>
                              </m:den>
                            </m:f>
                          </m:e>
                        </m:d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7" name="TextBox 46">
              <a:extLst>
                <a:ext uri="{FF2B5EF4-FFF2-40B4-BE49-F238E27FC236}">
                  <a16:creationId xmlns:a16="http://schemas.microsoft.com/office/drawing/2014/main" id="{DA75D7C6-9CDD-0AD7-3C76-04BF2611C2DB}"/>
                </a:ext>
              </a:extLst>
            </xdr:cNvPr>
            <xdr:cNvSpPr txBox="1"/>
          </xdr:nvSpPr>
          <xdr:spPr>
            <a:xfrm>
              <a:off x="26010236" y="10404898"/>
              <a:ext cx="2646687" cy="658514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〖𝑆𝐸〗_𝑎=√(𝑀𝑆𝐸[1/𝑛+𝑥 ̅^2/(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𝑛∑_(𝑖=1)^𝑛▒𝑥_𝑖^2 −1/𝑛(∑_(𝑖=1)^𝑛▒〖𝑥_𝑖 )^2 〗)]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29</xdr:col>
      <xdr:colOff>47414</xdr:colOff>
      <xdr:row>56</xdr:row>
      <xdr:rowOff>61807</xdr:rowOff>
    </xdr:from>
    <xdr:ext cx="1865895" cy="500137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BAD72635-A37A-40C0-B63B-2F1DB27E5733}"/>
                </a:ext>
              </a:extLst>
            </xdr:cNvPr>
            <xdr:cNvSpPr txBox="1"/>
          </xdr:nvSpPr>
          <xdr:spPr>
            <a:xfrm>
              <a:off x="23821814" y="10825057"/>
              <a:ext cx="1865895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𝑆𝐸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rad>
                      <m:radPr>
                        <m:degHide m:val="on"/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radPr>
                      <m:deg/>
                      <m:e>
                        <m:f>
                          <m:f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fPr>
                          <m:num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𝑀𝑆𝐸</m:t>
                            </m:r>
                          </m:num>
                          <m:den>
                            <m:nary>
                              <m:naryPr>
                                <m:chr m:val="∑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p>
                              <m:e>
                                <m:sSubSup>
                                  <m:sSubSup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Sup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𝑥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  <m:sup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bSup>
                              </m:e>
                            </m:nary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−</m:t>
                            </m:r>
                            <m:f>
                              <m:fPr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fPr>
                              <m:num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1</m:t>
                                </m:r>
                              </m:num>
                              <m:den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den>
                            </m:f>
                            <m:r>
                              <a:rPr lang="en-GB" sz="1100" b="0" i="1">
                                <a:solidFill>
                                  <a:schemeClr val="tx1"/>
                                </a:solidFill>
                                <a:effectLst/>
                                <a:latin typeface="Cambria Math" panose="02040503050406030204" pitchFamily="18" charset="0"/>
                                <a:ea typeface="+mn-ea"/>
                                <a:cs typeface="+mn-cs"/>
                              </a:rPr>
                              <m:t>(</m:t>
                            </m:r>
                            <m:nary>
                              <m:naryPr>
                                <m:chr m:val="∑"/>
                                <m:ctrl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</m:ctrlPr>
                              </m:naryPr>
                              <m:sub>
                                <m:r>
                                  <m:rPr>
                                    <m:brk m:alnAt="23"/>
                                  </m:rP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𝑖</m:t>
                                </m:r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=1</m:t>
                                </m:r>
                              </m:sub>
                              <m:sup>
                                <m:r>
                                  <a:rPr lang="en-GB" sz="1100" b="0" i="1">
                                    <a:solidFill>
                                      <a:schemeClr val="tx1"/>
                                    </a:solidFill>
                                    <a:effectLst/>
                                    <a:latin typeface="Cambria Math" panose="02040503050406030204" pitchFamily="18" charset="0"/>
                                    <a:ea typeface="+mn-ea"/>
                                    <a:cs typeface="+mn-cs"/>
                                  </a:rPr>
                                  <m:t>𝑛</m:t>
                                </m:r>
                              </m:sup>
                              <m:e>
                                <m:sSub>
                                  <m:sSub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𝑥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𝑖</m:t>
                                    </m:r>
                                  </m:sub>
                                </m:sSub>
                                <m:sSup>
                                  <m:sSupPr>
                                    <m:ctrlP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</m:ctrlPr>
                                  </m:sSupPr>
                                  <m:e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)</m:t>
                                    </m:r>
                                  </m:e>
                                  <m:sup>
                                    <m:r>
                                      <a:rPr lang="en-GB" sz="1100" b="0" i="1">
                                        <a:solidFill>
                                          <a:schemeClr val="tx1"/>
                                        </a:solidFill>
                                        <a:effectLst/>
                                        <a:latin typeface="Cambria Math" panose="02040503050406030204" pitchFamily="18" charset="0"/>
                                        <a:ea typeface="+mn-ea"/>
                                        <a:cs typeface="+mn-cs"/>
                                      </a:rPr>
                                      <m:t>2</m:t>
                                    </m:r>
                                  </m:sup>
                                </m:sSup>
                              </m:e>
                            </m:nary>
                          </m:den>
                        </m:f>
                      </m:e>
                    </m:rad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8" name="TextBox 47">
              <a:extLst>
                <a:ext uri="{FF2B5EF4-FFF2-40B4-BE49-F238E27FC236}">
                  <a16:creationId xmlns:a16="http://schemas.microsoft.com/office/drawing/2014/main" id="{BAD72635-A37A-40C0-B63B-2F1DB27E5733}"/>
                </a:ext>
              </a:extLst>
            </xdr:cNvPr>
            <xdr:cNvSpPr txBox="1"/>
          </xdr:nvSpPr>
          <xdr:spPr>
            <a:xfrm>
              <a:off x="23821814" y="10825057"/>
              <a:ext cx="1865895" cy="500137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〖𝑆𝐸〗_𝑏=√(𝑀𝑆𝐸/(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∑_(𝑖=1)^𝑛▒𝑥_𝑖^2 −1/𝑛(∑_(𝑖=1)^𝑛▒〖𝑥_𝑖 )^2 〗))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36</xdr:col>
      <xdr:colOff>137372</xdr:colOff>
      <xdr:row>59</xdr:row>
      <xdr:rowOff>138430</xdr:rowOff>
    </xdr:from>
    <xdr:ext cx="566950" cy="318485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0EA2DFA0-15D6-3838-55AA-CC6B28267A83}"/>
                </a:ext>
              </a:extLst>
            </xdr:cNvPr>
            <xdr:cNvSpPr txBox="1"/>
          </xdr:nvSpPr>
          <xdr:spPr>
            <a:xfrm>
              <a:off x="28178972" y="11473180"/>
              <a:ext cx="566950" cy="3184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𝑎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𝑎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49" name="TextBox 48">
              <a:extLst>
                <a:ext uri="{FF2B5EF4-FFF2-40B4-BE49-F238E27FC236}">
                  <a16:creationId xmlns:a16="http://schemas.microsoft.com/office/drawing/2014/main" id="{0EA2DFA0-15D6-3838-55AA-CC6B28267A83}"/>
                </a:ext>
              </a:extLst>
            </xdr:cNvPr>
            <xdr:cNvSpPr txBox="1"/>
          </xdr:nvSpPr>
          <xdr:spPr>
            <a:xfrm>
              <a:off x="28178972" y="11473180"/>
              <a:ext cx="566950" cy="318485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𝑡_𝑎=𝑎/(𝑆𝐸_𝑎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30</xdr:col>
      <xdr:colOff>325967</xdr:colOff>
      <xdr:row>62</xdr:row>
      <xdr:rowOff>121496</xdr:rowOff>
    </xdr:from>
    <xdr:ext cx="564514" cy="36118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EC45688B-0369-448A-B671-6A6920A16B56}"/>
                </a:ext>
              </a:extLst>
            </xdr:cNvPr>
            <xdr:cNvSpPr txBox="1"/>
          </xdr:nvSpPr>
          <xdr:spPr>
            <a:xfrm>
              <a:off x="24709967" y="12027746"/>
              <a:ext cx="564514" cy="3611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𝑡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sub>
                    </m:sSub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num>
                      <m:den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𝑆</m:t>
                        </m:r>
                        <m:sSub>
                          <m:sSub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sSubPr>
                          <m:e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𝐸</m:t>
                            </m:r>
                          </m:e>
                          <m:sub>
                            <m:r>
                              <a:rPr lang="en-GB" sz="1100" b="0" i="1">
                                <a:latin typeface="Cambria Math" panose="02040503050406030204" pitchFamily="18" charset="0"/>
                              </a:rPr>
                              <m:t>𝑏</m:t>
                            </m:r>
                          </m:sub>
                        </m:sSub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0" name="TextBox 49">
              <a:extLst>
                <a:ext uri="{FF2B5EF4-FFF2-40B4-BE49-F238E27FC236}">
                  <a16:creationId xmlns:a16="http://schemas.microsoft.com/office/drawing/2014/main" id="{EC45688B-0369-448A-B671-6A6920A16B56}"/>
                </a:ext>
              </a:extLst>
            </xdr:cNvPr>
            <xdr:cNvSpPr txBox="1"/>
          </xdr:nvSpPr>
          <xdr:spPr>
            <a:xfrm>
              <a:off x="24709967" y="12027746"/>
              <a:ext cx="564514" cy="36118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𝑡_𝑏=𝑏/(𝑆𝐸_𝑏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27</xdr:col>
      <xdr:colOff>252306</xdr:colOff>
      <xdr:row>69</xdr:row>
      <xdr:rowOff>32174</xdr:rowOff>
    </xdr:from>
    <xdr:ext cx="2273186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77A022F0-B0E2-5967-25CD-4189F2ABE85D}"/>
                </a:ext>
              </a:extLst>
            </xdr:cNvPr>
            <xdr:cNvSpPr txBox="1"/>
          </xdr:nvSpPr>
          <xdr:spPr>
            <a:xfrm>
              <a:off x="22807506" y="13271924"/>
              <a:ext cx="227318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𝐿𝑜𝑤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95%  /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𝑈𝑝𝑝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95%=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𝑏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±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𝑡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</m:sub>
                    </m:sSub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𝑆𝐸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𝑏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1" name="TextBox 50">
              <a:extLst>
                <a:ext uri="{FF2B5EF4-FFF2-40B4-BE49-F238E27FC236}">
                  <a16:creationId xmlns:a16="http://schemas.microsoft.com/office/drawing/2014/main" id="{77A022F0-B0E2-5967-25CD-4189F2ABE85D}"/>
                </a:ext>
              </a:extLst>
            </xdr:cNvPr>
            <xdr:cNvSpPr txBox="1"/>
          </xdr:nvSpPr>
          <xdr:spPr>
            <a:xfrm>
              <a:off x="22807506" y="13271924"/>
              <a:ext cx="227318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𝐿𝑜𝑤 95%  / 𝑈𝑝𝑝 95%=𝑏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±𝑡_𝑐𝑟𝑖𝑡 〖𝑆𝐸〗_𝑏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27</xdr:col>
      <xdr:colOff>200659</xdr:colOff>
      <xdr:row>72</xdr:row>
      <xdr:rowOff>7621</xdr:rowOff>
    </xdr:from>
    <xdr:ext cx="2273186" cy="173766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2" name="TextBox 51">
              <a:extLst>
                <a:ext uri="{FF2B5EF4-FFF2-40B4-BE49-F238E27FC236}">
                  <a16:creationId xmlns:a16="http://schemas.microsoft.com/office/drawing/2014/main" id="{20192A7C-363C-4FC1-94BF-A246DFFA9313}"/>
                </a:ext>
              </a:extLst>
            </xdr:cNvPr>
            <xdr:cNvSpPr txBox="1"/>
          </xdr:nvSpPr>
          <xdr:spPr>
            <a:xfrm>
              <a:off x="22755859" y="13818871"/>
              <a:ext cx="227318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𝐿𝑜𝑤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95%  / 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𝑈𝑝𝑝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 95%=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𝑎</m:t>
                    </m:r>
                    <m:r>
                      <a:rPr lang="en-GB" sz="1100" b="0" i="1">
                        <a:latin typeface="Cambria Math" panose="02040503050406030204" pitchFamily="18" charset="0"/>
                        <a:ea typeface="Cambria Math" panose="02040503050406030204" pitchFamily="18" charset="0"/>
                      </a:rPr>
                      <m:t>±</m:t>
                    </m:r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𝑡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𝑐𝑟𝑖𝑡</m:t>
                        </m:r>
                      </m:sub>
                    </m:sSub>
                    <m:sSub>
                      <m:sSubPr>
                        <m:ctrlP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</m:ctrlPr>
                      </m:sSubPr>
                      <m:e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𝑆𝐸</m:t>
                        </m:r>
                      </m:e>
                      <m:sub>
                        <m:r>
                          <a:rPr lang="en-GB" sz="1100" b="0" i="1">
                            <a:latin typeface="Cambria Math" panose="02040503050406030204" pitchFamily="18" charset="0"/>
                            <a:ea typeface="Cambria Math" panose="02040503050406030204" pitchFamily="18" charset="0"/>
                          </a:rPr>
                          <m:t>𝑎</m:t>
                        </m:r>
                      </m:sub>
                    </m:sSub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2" name="TextBox 51">
              <a:extLst>
                <a:ext uri="{FF2B5EF4-FFF2-40B4-BE49-F238E27FC236}">
                  <a16:creationId xmlns:a16="http://schemas.microsoft.com/office/drawing/2014/main" id="{20192A7C-363C-4FC1-94BF-A246DFFA9313}"/>
                </a:ext>
              </a:extLst>
            </xdr:cNvPr>
            <xdr:cNvSpPr txBox="1"/>
          </xdr:nvSpPr>
          <xdr:spPr>
            <a:xfrm>
              <a:off x="22755859" y="13818871"/>
              <a:ext cx="2273186" cy="173766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𝐿𝑜𝑤 95%  / 𝑈𝑝𝑝 95%=𝑎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±𝑡_𝑐𝑟𝑖𝑡 〖𝑆𝐸〗_𝑎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28</xdr:col>
      <xdr:colOff>153247</xdr:colOff>
      <xdr:row>5</xdr:row>
      <xdr:rowOff>149860</xdr:rowOff>
    </xdr:from>
    <xdr:ext cx="566116" cy="488339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3" name="TextBox 52">
              <a:extLst>
                <a:ext uri="{FF2B5EF4-FFF2-40B4-BE49-F238E27FC236}">
                  <a16:creationId xmlns:a16="http://schemas.microsoft.com/office/drawing/2014/main" id="{07E0881A-6029-700C-7A8E-831FDE7FCC0A}"/>
                </a:ext>
              </a:extLst>
            </xdr:cNvPr>
            <xdr:cNvSpPr txBox="1"/>
          </xdr:nvSpPr>
          <xdr:spPr>
            <a:xfrm>
              <a:off x="23224914" y="1106593"/>
              <a:ext cx="566116" cy="488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14:m>
                <m:oMathPara xmlns:m="http://schemas.openxmlformats.org/officeDocument/2006/math">
                  <m:oMathParaPr>
                    <m:jc m:val="centerGroup"/>
                  </m:oMathParaPr>
                  <m:oMath xmlns:m="http://schemas.openxmlformats.org/officeDocument/2006/math">
                    <m:r>
                      <a:rPr lang="en-GB" sz="1100" b="0" i="1">
                        <a:latin typeface="Cambria Math" panose="02040503050406030204" pitchFamily="18" charset="0"/>
                      </a:rPr>
                      <m:t>𝑟</m:t>
                    </m:r>
                    <m:r>
                      <a:rPr lang="en-GB" sz="1100" b="0" i="1">
                        <a:latin typeface="Cambria Math" panose="02040503050406030204" pitchFamily="18" charset="0"/>
                      </a:rPr>
                      <m:t>=</m:t>
                    </m:r>
                    <m:f>
                      <m:fPr>
                        <m:ctrlPr>
                          <a:rPr lang="en-GB" sz="1100" b="0" i="1">
                            <a:latin typeface="Cambria Math" panose="02040503050406030204" pitchFamily="18" charset="0"/>
                          </a:rPr>
                        </m:ctrlPr>
                      </m:fPr>
                      <m:num>
                        <m:r>
                          <a:rPr lang="en-GB" sz="1100" b="0" i="1">
                            <a:latin typeface="Cambria Math" panose="02040503050406030204" pitchFamily="18" charset="0"/>
                          </a:rPr>
                          <m:t>𝑏</m:t>
                        </m:r>
                      </m:num>
                      <m:den>
                        <m:d>
                          <m:dPr>
                            <m:ctrlPr>
                              <a:rPr lang="en-GB" sz="1100" b="0" i="1">
                                <a:latin typeface="Cambria Math" panose="02040503050406030204" pitchFamily="18" charset="0"/>
                              </a:rPr>
                            </m:ctrlPr>
                          </m:dPr>
                          <m:e>
                            <m:f>
                              <m:fPr>
                                <m:ctrlPr>
                                  <a:rPr lang="en-GB" sz="1100" b="0" i="1">
                                    <a:latin typeface="Cambria Math" panose="02040503050406030204" pitchFamily="18" charset="0"/>
                                  </a:rPr>
                                </m:ctrlPr>
                              </m:fPr>
                              <m:num>
                                <m:sSub>
                                  <m:sSub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𝜎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𝑦</m:t>
                                    </m:r>
                                  </m:sub>
                                </m:sSub>
                              </m:num>
                              <m:den>
                                <m:sSub>
                                  <m:sSubPr>
                                    <m:ctrlP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</m:ctrlPr>
                                  </m:sSubPr>
                                  <m:e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  <a:ea typeface="Cambria Math" panose="02040503050406030204" pitchFamily="18" charset="0"/>
                                      </a:rPr>
                                      <m:t>𝜎</m:t>
                                    </m:r>
                                  </m:e>
                                  <m:sub>
                                    <m:r>
                                      <a:rPr lang="en-GB" sz="1100" b="0" i="1">
                                        <a:latin typeface="Cambria Math" panose="02040503050406030204" pitchFamily="18" charset="0"/>
                                      </a:rPr>
                                      <m:t>𝑥</m:t>
                                    </m:r>
                                  </m:sub>
                                </m:sSub>
                              </m:den>
                            </m:f>
                          </m:e>
                        </m:d>
                      </m:den>
                    </m:f>
                  </m:oMath>
                </m:oMathPara>
              </a14:m>
              <a:endParaRPr lang="en-GB" sz="1100"/>
            </a:p>
          </xdr:txBody>
        </xdr:sp>
      </mc:Choice>
      <mc:Fallback xmlns="">
        <xdr:sp macro="" textlink="">
          <xdr:nvSpPr>
            <xdr:cNvPr id="53" name="TextBox 52">
              <a:extLst>
                <a:ext uri="{FF2B5EF4-FFF2-40B4-BE49-F238E27FC236}">
                  <a16:creationId xmlns:a16="http://schemas.microsoft.com/office/drawing/2014/main" id="{07E0881A-6029-700C-7A8E-831FDE7FCC0A}"/>
                </a:ext>
              </a:extLst>
            </xdr:cNvPr>
            <xdr:cNvSpPr txBox="1"/>
          </xdr:nvSpPr>
          <xdr:spPr>
            <a:xfrm>
              <a:off x="23224914" y="1106593"/>
              <a:ext cx="566116" cy="488339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pPr/>
              <a:r>
                <a:rPr lang="en-GB" sz="1100" b="0" i="0">
                  <a:latin typeface="Cambria Math" panose="02040503050406030204" pitchFamily="18" charset="0"/>
                </a:rPr>
                <a:t>𝑟=𝑏/((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en-GB" sz="1100" b="0" i="0">
                  <a:latin typeface="Cambria Math" panose="02040503050406030204" pitchFamily="18" charset="0"/>
                </a:rPr>
                <a:t>𝑦/</a:t>
              </a:r>
              <a:r>
                <a:rPr lang="en-GB" sz="1100" b="0" i="0">
                  <a:latin typeface="Cambria Math" panose="02040503050406030204" pitchFamily="18" charset="0"/>
                  <a:ea typeface="Cambria Math" panose="02040503050406030204" pitchFamily="18" charset="0"/>
                </a:rPr>
                <a:t>𝜎_</a:t>
              </a:r>
              <a:r>
                <a:rPr lang="en-GB" sz="1100" b="0" i="0">
                  <a:latin typeface="Cambria Math" panose="02040503050406030204" pitchFamily="18" charset="0"/>
                </a:rPr>
                <a:t>𝑥 ) )</a:t>
              </a:r>
              <a:endParaRPr lang="en-GB" sz="1100"/>
            </a:p>
          </xdr:txBody>
        </xdr:sp>
      </mc:Fallback>
    </mc:AlternateContent>
    <xdr:clientData/>
  </xdr:oneCellAnchor>
  <xdr:oneCellAnchor>
    <xdr:from>
      <xdr:col>37</xdr:col>
      <xdr:colOff>340995</xdr:colOff>
      <xdr:row>51</xdr:row>
      <xdr:rowOff>171027</xdr:rowOff>
    </xdr:from>
    <xdr:ext cx="572273" cy="270010"/>
    <mc:AlternateContent xmlns:mc="http://schemas.openxmlformats.org/markup-compatibility/2006" xmlns:a14="http://schemas.microsoft.com/office/drawing/2010/main">
      <mc:Choice Requires="a14">
        <xdr:sp macro="" textlink="">
          <xdr:nvSpPr>
            <xdr:cNvPr id="54" name="TextBox 53">
              <a:extLst>
                <a:ext uri="{FF2B5EF4-FFF2-40B4-BE49-F238E27FC236}">
                  <a16:creationId xmlns:a16="http://schemas.microsoft.com/office/drawing/2014/main" id="{98A42C55-213C-424B-AB4C-C7DE14CD1149}"/>
                </a:ext>
              </a:extLst>
            </xdr:cNvPr>
            <xdr:cNvSpPr txBox="1"/>
          </xdr:nvSpPr>
          <xdr:spPr>
            <a:xfrm>
              <a:off x="28868370" y="10029402"/>
              <a:ext cx="572273" cy="270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/>
                <a:t>b</a:t>
              </a:r>
              <a14:m>
                <m:oMath xmlns:m="http://schemas.openxmlformats.org/officeDocument/2006/math">
                  <m:r>
                    <a:rPr lang="en-GB" sz="1100" b="0" i="1">
                      <a:latin typeface="Cambria Math" panose="02040503050406030204" pitchFamily="18" charset="0"/>
                    </a:rPr>
                    <m:t>=</m:t>
                  </m:r>
                  <m:r>
                    <a:rPr lang="en-GB" sz="1100" b="0" i="1">
                      <a:latin typeface="Cambria Math" panose="02040503050406030204" pitchFamily="18" charset="0"/>
                    </a:rPr>
                    <m:t>𝑟</m:t>
                  </m:r>
                  <m:d>
                    <m:dPr>
                      <m:ctrlPr>
                        <a:rPr lang="en-GB" sz="1100" b="0" i="1">
                          <a:solidFill>
                            <a:schemeClr val="tx1"/>
                          </a:solidFill>
                          <a:effectLst/>
                          <a:latin typeface="Cambria Math" panose="02040503050406030204" pitchFamily="18" charset="0"/>
                          <a:ea typeface="+mn-ea"/>
                          <a:cs typeface="+mn-cs"/>
                        </a:rPr>
                      </m:ctrlPr>
                    </m:dPr>
                    <m:e>
                      <m:f>
                        <m:fPr>
                          <m:ctrlPr>
                            <a:rPr lang="en-GB" sz="1100" b="0" i="1">
                              <a:solidFill>
                                <a:schemeClr val="tx1"/>
                              </a:solidFill>
                              <a:effectLst/>
                              <a:latin typeface="Cambria Math" panose="02040503050406030204" pitchFamily="18" charset="0"/>
                              <a:ea typeface="+mn-ea"/>
                              <a:cs typeface="+mn-cs"/>
                            </a:rPr>
                          </m:ctrlPr>
                        </m:fPr>
                        <m:num>
                          <m:sSub>
                            <m:sSubPr>
                              <m:ctrlP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𝜎</m:t>
                              </m:r>
                            </m:e>
                            <m:sub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𝑦</m:t>
                              </m:r>
                            </m:sub>
                          </m:sSub>
                        </m:num>
                        <m:den>
                          <m:sSub>
                            <m:sSubPr>
                              <m:ctrlP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</m:ctrlPr>
                            </m:sSubPr>
                            <m:e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𝜎</m:t>
                              </m:r>
                            </m:e>
                            <m:sub>
                              <m:r>
                                <a:rPr lang="en-GB" sz="1100" b="0" i="1">
                                  <a:solidFill>
                                    <a:schemeClr val="tx1"/>
                                  </a:solidFill>
                                  <a:effectLst/>
                                  <a:latin typeface="Cambria Math" panose="02040503050406030204" pitchFamily="18" charset="0"/>
                                  <a:ea typeface="+mn-ea"/>
                                  <a:cs typeface="+mn-cs"/>
                                </a:rPr>
                                <m:t>𝑥</m:t>
                              </m:r>
                            </m:sub>
                          </m:sSub>
                        </m:den>
                      </m:f>
                    </m:e>
                  </m:d>
                </m:oMath>
              </a14:m>
              <a:endParaRPr lang="en-GB" sz="1100"/>
            </a:p>
          </xdr:txBody>
        </xdr:sp>
      </mc:Choice>
      <mc:Fallback xmlns="">
        <xdr:sp macro="" textlink="">
          <xdr:nvSpPr>
            <xdr:cNvPr id="54" name="TextBox 53">
              <a:extLst>
                <a:ext uri="{FF2B5EF4-FFF2-40B4-BE49-F238E27FC236}">
                  <a16:creationId xmlns:a16="http://schemas.microsoft.com/office/drawing/2014/main" id="{98A42C55-213C-424B-AB4C-C7DE14CD1149}"/>
                </a:ext>
              </a:extLst>
            </xdr:cNvPr>
            <xdr:cNvSpPr txBox="1"/>
          </xdr:nvSpPr>
          <xdr:spPr>
            <a:xfrm>
              <a:off x="28868370" y="10029402"/>
              <a:ext cx="572273" cy="270010"/>
            </a:xfrm>
            <a:prstGeom prst="rect">
              <a:avLst/>
            </a:prstGeom>
            <a:noFill/>
          </xdr:spPr>
          <xdr:style>
            <a:lnRef idx="0">
              <a:scrgbClr r="0" g="0" b="0"/>
            </a:lnRef>
            <a:fillRef idx="0">
              <a:scrgbClr r="0" g="0" b="0"/>
            </a:fillRef>
            <a:effectRef idx="0">
              <a:scrgbClr r="0" g="0" b="0"/>
            </a:effectRef>
            <a:fontRef idx="minor">
              <a:schemeClr val="tx1"/>
            </a:fontRef>
          </xdr:style>
          <xdr:txBody>
            <a:bodyPr vertOverflow="clip" horzOverflow="clip" wrap="none" lIns="0" tIns="0" rIns="0" bIns="0" rtlCol="0" anchor="t">
              <a:spAutoFit/>
            </a:bodyPr>
            <a:lstStyle/>
            <a:p>
              <a:r>
                <a:rPr lang="en-GB" sz="1100" b="0"/>
                <a:t>b</a:t>
              </a:r>
              <a:r>
                <a:rPr lang="en-GB" sz="1100" b="0" i="0">
                  <a:latin typeface="Cambria Math" panose="02040503050406030204" pitchFamily="18" charset="0"/>
                </a:rPr>
                <a:t>=𝑟</a:t>
              </a:r>
              <a:r>
                <a:rPr lang="en-GB" sz="1100" b="0" i="0">
                  <a:solidFill>
                    <a:schemeClr val="tx1"/>
                  </a:solidFill>
                  <a:effectLst/>
                  <a:latin typeface="Cambria Math" panose="02040503050406030204" pitchFamily="18" charset="0"/>
                  <a:ea typeface="+mn-ea"/>
                  <a:cs typeface="+mn-cs"/>
                </a:rPr>
                <a:t>(𝜎_𝑦/𝜎_𝑥 )</a:t>
              </a:r>
              <a:endParaRPr lang="en-GB" sz="1100"/>
            </a:p>
          </xdr:txBody>
        </xdr:sp>
      </mc:Fallback>
    </mc:AlternateContent>
    <xdr:clientData/>
  </xdr:oneCellAnchor>
  <xdr:twoCellAnchor>
    <xdr:from>
      <xdr:col>6</xdr:col>
      <xdr:colOff>22861</xdr:colOff>
      <xdr:row>1</xdr:row>
      <xdr:rowOff>46566</xdr:rowOff>
    </xdr:from>
    <xdr:to>
      <xdr:col>9</xdr:col>
      <xdr:colOff>1051561</xdr:colOff>
      <xdr:row>12</xdr:row>
      <xdr:rowOff>38946</xdr:rowOff>
    </xdr:to>
    <xdr:graphicFrame macro="">
      <xdr:nvGraphicFramePr>
        <xdr:cNvPr id="3" name="Chart 2">
          <a:extLst>
            <a:ext uri="{FF2B5EF4-FFF2-40B4-BE49-F238E27FC236}">
              <a16:creationId xmlns:a16="http://schemas.microsoft.com/office/drawing/2014/main" id="{09215D0C-9DAC-4051-8E31-F343DFE02861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6</xdr:col>
      <xdr:colOff>53341</xdr:colOff>
      <xdr:row>12</xdr:row>
      <xdr:rowOff>46566</xdr:rowOff>
    </xdr:from>
    <xdr:to>
      <xdr:col>9</xdr:col>
      <xdr:colOff>1066801</xdr:colOff>
      <xdr:row>25</xdr:row>
      <xdr:rowOff>166793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40337CDD-BF74-4227-B322-278ED5002E10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>
    <xdr:from>
      <xdr:col>3</xdr:col>
      <xdr:colOff>6765</xdr:colOff>
      <xdr:row>1</xdr:row>
      <xdr:rowOff>66675</xdr:rowOff>
    </xdr:from>
    <xdr:to>
      <xdr:col>9</xdr:col>
      <xdr:colOff>540165</xdr:colOff>
      <xdr:row>13</xdr:row>
      <xdr:rowOff>9525</xdr:rowOff>
    </xdr:to>
    <xdr:graphicFrame macro="">
      <xdr:nvGraphicFramePr>
        <xdr:cNvPr id="4" name="Chart 3">
          <a:extLst>
            <a:ext uri="{FF2B5EF4-FFF2-40B4-BE49-F238E27FC236}">
              <a16:creationId xmlns:a16="http://schemas.microsoft.com/office/drawing/2014/main" id="{A6765197-EDEC-2894-30A2-192A30C37541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3</xdr:col>
      <xdr:colOff>52485</xdr:colOff>
      <xdr:row>13</xdr:row>
      <xdr:rowOff>47625</xdr:rowOff>
    </xdr:from>
    <xdr:to>
      <xdr:col>9</xdr:col>
      <xdr:colOff>559215</xdr:colOff>
      <xdr:row>24</xdr:row>
      <xdr:rowOff>161925</xdr:rowOff>
    </xdr:to>
    <xdr:graphicFrame macro="">
      <xdr:nvGraphicFramePr>
        <xdr:cNvPr id="5" name="Chart 4">
          <a:extLst>
            <a:ext uri="{FF2B5EF4-FFF2-40B4-BE49-F238E27FC236}">
              <a16:creationId xmlns:a16="http://schemas.microsoft.com/office/drawing/2014/main" id="{A1B94799-5E66-67A2-16CA-D0B1D58237C8}"/>
            </a:ext>
          </a:extLst>
        </xdr:cNvPr>
        <xdr:cNvGraphicFramePr/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twoCellAnchor>
    <xdr:from>
      <xdr:col>3</xdr:col>
      <xdr:colOff>67725</xdr:colOff>
      <xdr:row>25</xdr:row>
      <xdr:rowOff>0</xdr:rowOff>
    </xdr:from>
    <xdr:to>
      <xdr:col>9</xdr:col>
      <xdr:colOff>532545</xdr:colOff>
      <xdr:row>38</xdr:row>
      <xdr:rowOff>106680</xdr:rowOff>
    </xdr:to>
    <xdr:graphicFrame macro="">
      <xdr:nvGraphicFramePr>
        <xdr:cNvPr id="7" name="Chart 6">
          <a:extLst>
            <a:ext uri="{FF2B5EF4-FFF2-40B4-BE49-F238E27FC236}">
              <a16:creationId xmlns:a16="http://schemas.microsoft.com/office/drawing/2014/main" id="{4E863854-9818-48CA-AFD0-CF11BF7056D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3"/>
        </a:graphicData>
      </a:graphic>
    </xdr:graphicFrame>
    <xdr:clientData/>
  </xdr:twoCellAnchor>
</xdr:wsDr>
</file>

<file path=xl/persons/person.xml><?xml version="1.0" encoding="utf-8"?>
<personList xmlns="http://schemas.microsoft.com/office/spreadsheetml/2018/threadedcomments" xmlns:x="http://schemas.openxmlformats.org/spreadsheetml/2006/main"/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2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32166-7520-4240-8315-F970DD41AED7}">
  <dimension ref="A1:Y76"/>
  <sheetViews>
    <sheetView tabSelected="1" zoomScaleNormal="100" workbookViewId="0">
      <pane ySplit="1" topLeftCell="A2" activePane="bottomLeft" state="frozen"/>
      <selection pane="bottomLeft" activeCell="K1" sqref="K1"/>
    </sheetView>
  </sheetViews>
  <sheetFormatPr defaultRowHeight="15" x14ac:dyDescent="0.25"/>
  <cols>
    <col min="3" max="3" width="9.85546875" customWidth="1"/>
    <col min="4" max="4" width="11" customWidth="1"/>
    <col min="5" max="5" width="12" customWidth="1"/>
    <col min="6" max="6" width="15.42578125" customWidth="1"/>
    <col min="7" max="7" width="12.28515625" customWidth="1"/>
    <col min="8" max="8" width="11.5703125" customWidth="1"/>
    <col min="10" max="10" width="15.7109375" customWidth="1"/>
    <col min="11" max="11" width="15.42578125" customWidth="1"/>
    <col min="12" max="12" width="11.7109375" customWidth="1"/>
    <col min="13" max="13" width="13.42578125" customWidth="1"/>
    <col min="14" max="14" width="16.7109375" customWidth="1"/>
    <col min="15" max="15" width="12.7109375" bestFit="1" customWidth="1"/>
    <col min="16" max="16" width="13.42578125" customWidth="1"/>
    <col min="17" max="17" width="10.7109375" customWidth="1"/>
    <col min="18" max="19" width="12.5703125" customWidth="1"/>
    <col min="20" max="20" width="4.28515625" customWidth="1"/>
    <col min="21" max="21" width="16.5703125" customWidth="1"/>
    <col min="22" max="22" width="15.7109375" customWidth="1"/>
    <col min="23" max="23" width="17.7109375" bestFit="1" customWidth="1"/>
    <col min="25" max="25" width="18.42578125" bestFit="1" customWidth="1"/>
    <col min="26" max="26" width="12.7109375" bestFit="1" customWidth="1"/>
  </cols>
  <sheetData>
    <row r="1" spans="2:23" ht="16.5" x14ac:dyDescent="0.25">
      <c r="B1" t="s">
        <v>0</v>
      </c>
      <c r="C1" t="s">
        <v>1</v>
      </c>
      <c r="D1" s="7" t="s">
        <v>32</v>
      </c>
      <c r="E1" s="7" t="s">
        <v>35</v>
      </c>
      <c r="F1" s="7" t="s">
        <v>36</v>
      </c>
      <c r="G1" s="48" t="s">
        <v>33</v>
      </c>
      <c r="H1" s="49">
        <f>L17</f>
        <v>7180.8</v>
      </c>
      <c r="I1" s="50" t="s">
        <v>34</v>
      </c>
      <c r="J1" s="50">
        <f>L18</f>
        <v>29.846153846153847</v>
      </c>
      <c r="K1" t="s">
        <v>2</v>
      </c>
    </row>
    <row r="2" spans="2:23" ht="15.75" thickBot="1" x14ac:dyDescent="0.3">
      <c r="B2" s="3">
        <v>1</v>
      </c>
      <c r="C2" s="2">
        <v>7050</v>
      </c>
      <c r="D2" s="3">
        <f>$H$1+$J$1*B2</f>
        <v>7210.6461538461544</v>
      </c>
      <c r="E2" s="3">
        <f>(C2-D2)^2</f>
        <v>25807.186745562325</v>
      </c>
      <c r="F2" s="9">
        <f>(D2-AVERAGE($C$2:$C$26))^2</f>
        <v>128274.17751479259</v>
      </c>
    </row>
    <row r="3" spans="2:23" x14ac:dyDescent="0.25">
      <c r="B3" s="3">
        <v>2</v>
      </c>
      <c r="C3" s="2">
        <v>7770</v>
      </c>
      <c r="D3" s="3">
        <f t="shared" ref="D3:D26" si="0">$H$1+$J$1*B3</f>
        <v>7240.4923076923078</v>
      </c>
      <c r="E3" s="3">
        <f t="shared" ref="E3:E26" si="1">(C3-D3)^2</f>
        <v>280378.39621301764</v>
      </c>
      <c r="F3" s="9">
        <f t="shared" ref="F3:F26" si="2">(D3-AVERAGE($C$2:$C$26))^2</f>
        <v>107785.94082840241</v>
      </c>
      <c r="K3" s="6" t="s">
        <v>3</v>
      </c>
      <c r="L3" s="6"/>
    </row>
    <row r="4" spans="2:23" x14ac:dyDescent="0.25">
      <c r="B4" s="3">
        <v>3</v>
      </c>
      <c r="C4" s="2">
        <v>7200</v>
      </c>
      <c r="D4" s="3">
        <f t="shared" si="0"/>
        <v>7270.3384615384621</v>
      </c>
      <c r="E4" s="3">
        <f t="shared" si="1"/>
        <v>4947.4991715977076</v>
      </c>
      <c r="F4" s="9">
        <f t="shared" si="2"/>
        <v>89079.289940828196</v>
      </c>
      <c r="K4" t="s">
        <v>4</v>
      </c>
      <c r="L4" s="12">
        <v>0.72739531943413038</v>
      </c>
      <c r="U4" t="str">
        <f>K4</f>
        <v>Multiple R</v>
      </c>
      <c r="V4" s="37">
        <f>CORREL(B2:B26,C2:C26)</f>
        <v>0.72739531943413049</v>
      </c>
      <c r="W4" t="str">
        <f ca="1">_xlfn.FORMULATEXT(V4)</f>
        <v>=CORREL(B2:B26,C2:C26)</v>
      </c>
    </row>
    <row r="5" spans="2:23" x14ac:dyDescent="0.25">
      <c r="B5" s="3">
        <v>4</v>
      </c>
      <c r="C5" s="2">
        <v>7210</v>
      </c>
      <c r="D5" s="3">
        <f t="shared" si="0"/>
        <v>7300.1846153846154</v>
      </c>
      <c r="E5" s="3">
        <f t="shared" si="1"/>
        <v>8133.2648520710136</v>
      </c>
      <c r="F5" s="9">
        <f t="shared" si="2"/>
        <v>72154.224852071085</v>
      </c>
      <c r="K5" t="s">
        <v>5</v>
      </c>
      <c r="L5" s="13">
        <v>0.52910395073468064</v>
      </c>
      <c r="V5" s="37">
        <f>_xlfn.COVARIANCE.S(B2:B26,C2:C26)/SQRT(_xlfn.VAR.S(B2:B26)*_xlfn.VAR.S(C2:C26))</f>
        <v>0.7273953194341306</v>
      </c>
      <c r="W5" t="str">
        <f t="shared" ref="W5:W8" ca="1" si="3">_xlfn.FORMULATEXT(V5)</f>
        <v>=COVARIANCE.S(B2:B26,C2:C26)/SQRT(VAR.S(B2:B26)*VAR.S(C2:C26))</v>
      </c>
    </row>
    <row r="6" spans="2:23" x14ac:dyDescent="0.25">
      <c r="B6" s="3">
        <v>5</v>
      </c>
      <c r="C6" s="2">
        <v>7420</v>
      </c>
      <c r="D6" s="3">
        <f t="shared" si="0"/>
        <v>7330.0307692307697</v>
      </c>
      <c r="E6" s="3">
        <f t="shared" si="1"/>
        <v>8094.4624852070174</v>
      </c>
      <c r="F6" s="9">
        <f t="shared" si="2"/>
        <v>57010.745562130047</v>
      </c>
      <c r="K6" t="s">
        <v>6</v>
      </c>
      <c r="L6" s="14">
        <v>0.50863020946227544</v>
      </c>
      <c r="V6" s="38">
        <f>_xlfn.COVARIANCE.S(B2:B26,C2:C26)/(_xlfn.STDEV.S(B2:B26)*_xlfn.STDEV.S(C2:C26))</f>
        <v>0.7273953194341306</v>
      </c>
      <c r="W6" t="str">
        <f t="shared" ca="1" si="3"/>
        <v>=COVARIANCE.S(B2:B26,C2:C26)/(STDEV.S(B2:B26)*STDEV.S(C2:C26))</v>
      </c>
    </row>
    <row r="7" spans="2:23" x14ac:dyDescent="0.25">
      <c r="B7" s="3">
        <v>6</v>
      </c>
      <c r="C7" s="2">
        <v>7380</v>
      </c>
      <c r="D7" s="3">
        <f t="shared" si="0"/>
        <v>7359.876923076923</v>
      </c>
      <c r="E7" s="3">
        <f t="shared" si="1"/>
        <v>404.93822485207215</v>
      </c>
      <c r="F7" s="9">
        <f t="shared" si="2"/>
        <v>43648.852071006004</v>
      </c>
      <c r="K7" t="s">
        <v>7</v>
      </c>
      <c r="L7" s="15">
        <v>211.68405813435101</v>
      </c>
      <c r="V7" s="38">
        <f>SQRT(L5)</f>
        <v>0.72739531943413038</v>
      </c>
      <c r="W7" t="str">
        <f t="shared" ca="1" si="3"/>
        <v>=SQRT(L5)</v>
      </c>
    </row>
    <row r="8" spans="2:23" ht="15.75" thickBot="1" x14ac:dyDescent="0.3">
      <c r="B8" s="3">
        <v>7</v>
      </c>
      <c r="C8" s="2">
        <v>7350</v>
      </c>
      <c r="D8" s="3">
        <f t="shared" si="0"/>
        <v>7389.7230769230773</v>
      </c>
      <c r="E8" s="3">
        <f t="shared" si="1"/>
        <v>1577.9228402367175</v>
      </c>
      <c r="F8" s="9">
        <f t="shared" si="2"/>
        <v>32068.544378698149</v>
      </c>
      <c r="K8" s="4" t="s">
        <v>8</v>
      </c>
      <c r="L8" s="28">
        <v>25</v>
      </c>
      <c r="V8" s="38">
        <f>L18/(_xlfn.STDEV.S(C2:C26)/_xlfn.STDEV.S(B2:B26))</f>
        <v>0.72739531943413049</v>
      </c>
      <c r="W8" t="str">
        <f t="shared" ca="1" si="3"/>
        <v>=L18/(STDEV.S(C2:C26)/STDEV.S(B2:B26))</v>
      </c>
    </row>
    <row r="9" spans="2:23" x14ac:dyDescent="0.25">
      <c r="B9" s="3">
        <v>8</v>
      </c>
      <c r="C9" s="2">
        <v>7260</v>
      </c>
      <c r="D9" s="3">
        <f t="shared" si="0"/>
        <v>7419.5692307692307</v>
      </c>
      <c r="E9" s="3">
        <f t="shared" si="1"/>
        <v>25462.339408283991</v>
      </c>
      <c r="F9" s="9">
        <f t="shared" si="2"/>
        <v>22269.822485207183</v>
      </c>
      <c r="V9" s="41"/>
      <c r="W9" s="69"/>
    </row>
    <row r="10" spans="2:23" ht="15.75" thickBot="1" x14ac:dyDescent="0.3">
      <c r="B10" s="3">
        <v>9</v>
      </c>
      <c r="C10" s="2">
        <v>7450</v>
      </c>
      <c r="D10" s="3">
        <f t="shared" si="0"/>
        <v>7449.4153846153849</v>
      </c>
      <c r="E10" s="3">
        <f t="shared" si="1"/>
        <v>0.3417751479286178</v>
      </c>
      <c r="F10" s="9">
        <f t="shared" si="2"/>
        <v>14252.686390532512</v>
      </c>
      <c r="K10" t="s">
        <v>9</v>
      </c>
      <c r="U10" t="str">
        <f>K5</f>
        <v>R Square</v>
      </c>
      <c r="V10" s="42">
        <f>RSQ(C2:C26,B2:B26)</f>
        <v>0.52910395073468086</v>
      </c>
      <c r="W10" t="str">
        <f ca="1">_xlfn.FORMULATEXT(V10)</f>
        <v>=RSQ(C2:C26,B2:B26)</v>
      </c>
    </row>
    <row r="11" spans="2:23" x14ac:dyDescent="0.25">
      <c r="B11" s="3">
        <v>10</v>
      </c>
      <c r="C11" s="2">
        <v>7250</v>
      </c>
      <c r="D11" s="3">
        <f t="shared" si="0"/>
        <v>7479.2615384615383</v>
      </c>
      <c r="E11" s="3">
        <f t="shared" si="1"/>
        <v>52560.853017751404</v>
      </c>
      <c r="F11" s="9">
        <f t="shared" si="2"/>
        <v>8017.136094674619</v>
      </c>
      <c r="K11" s="5"/>
      <c r="L11" s="5" t="s">
        <v>14</v>
      </c>
      <c r="M11" s="5" t="s">
        <v>15</v>
      </c>
      <c r="N11" s="5" t="s">
        <v>16</v>
      </c>
      <c r="O11" s="5" t="s">
        <v>17</v>
      </c>
      <c r="P11" s="5" t="s">
        <v>18</v>
      </c>
      <c r="V11" s="42">
        <f>DEVSQ(D2:D26,AVERAGE(C2:C26))/DEVSQ(C2:C26)</f>
        <v>0.52910395073468064</v>
      </c>
      <c r="W11" t="str">
        <f t="shared" ref="W11:W14" ca="1" si="4">_xlfn.FORMULATEXT(V11)</f>
        <v>=DEVSQ(D2:D26,AVERAGE(C2:C26))/DEVSQ(C2:C26)</v>
      </c>
    </row>
    <row r="12" spans="2:23" x14ac:dyDescent="0.25">
      <c r="B12" s="3">
        <v>11</v>
      </c>
      <c r="C12" s="2">
        <v>7600</v>
      </c>
      <c r="D12" s="3">
        <f t="shared" si="0"/>
        <v>7509.1076923076926</v>
      </c>
      <c r="E12" s="3">
        <f t="shared" si="1"/>
        <v>8261.4115976330904</v>
      </c>
      <c r="F12" s="9">
        <f t="shared" si="2"/>
        <v>3563.1715976331279</v>
      </c>
      <c r="K12" t="s">
        <v>10</v>
      </c>
      <c r="L12" s="30">
        <v>1</v>
      </c>
      <c r="M12" s="19">
        <v>1158030.769230769</v>
      </c>
      <c r="N12" s="22">
        <v>1158030.769230769</v>
      </c>
      <c r="O12" s="24">
        <v>25.843051530978109</v>
      </c>
      <c r="P12" s="25">
        <v>3.7919395690170463E-5</v>
      </c>
      <c r="V12" s="42">
        <f>M12/M14</f>
        <v>0.52910395073468064</v>
      </c>
      <c r="W12" t="str">
        <f t="shared" ca="1" si="4"/>
        <v>=M12/M14</v>
      </c>
    </row>
    <row r="13" spans="2:23" x14ac:dyDescent="0.25">
      <c r="B13" s="3">
        <v>12</v>
      </c>
      <c r="C13" s="2">
        <v>7650</v>
      </c>
      <c r="D13" s="3">
        <f t="shared" si="0"/>
        <v>7538.9538461538468</v>
      </c>
      <c r="E13" s="3">
        <f t="shared" si="1"/>
        <v>12331.248284023519</v>
      </c>
      <c r="F13" s="9">
        <f t="shared" si="2"/>
        <v>890.79289940825481</v>
      </c>
      <c r="K13" t="s">
        <v>11</v>
      </c>
      <c r="L13" s="31">
        <v>23</v>
      </c>
      <c r="M13" s="17">
        <v>1030633.2307692309</v>
      </c>
      <c r="N13" s="23">
        <v>44810.14046822743</v>
      </c>
      <c r="S13" s="3"/>
      <c r="V13" s="42">
        <f>1-(M13/M14)</f>
        <v>0.52910395073468064</v>
      </c>
      <c r="W13" t="str">
        <f t="shared" ca="1" si="4"/>
        <v>=1-(M13/M14)</v>
      </c>
    </row>
    <row r="14" spans="2:23" ht="15.75" thickBot="1" x14ac:dyDescent="0.3">
      <c r="B14" s="3">
        <v>13</v>
      </c>
      <c r="C14" s="2">
        <v>7520</v>
      </c>
      <c r="D14" s="3">
        <f t="shared" si="0"/>
        <v>7568.8</v>
      </c>
      <c r="E14" s="3">
        <f t="shared" si="1"/>
        <v>2381.4400000000178</v>
      </c>
      <c r="F14" s="9">
        <f t="shared" si="2"/>
        <v>0</v>
      </c>
      <c r="K14" s="4" t="s">
        <v>12</v>
      </c>
      <c r="L14" s="32">
        <v>24</v>
      </c>
      <c r="M14" s="16">
        <v>2188664</v>
      </c>
      <c r="N14" s="4"/>
      <c r="O14" s="4"/>
      <c r="P14" s="4"/>
      <c r="S14" s="3"/>
      <c r="V14" s="42">
        <f>(M14-M13)/M14</f>
        <v>0.52910395073468064</v>
      </c>
      <c r="W14" t="str">
        <f t="shared" ca="1" si="4"/>
        <v>=(M14-M13)/M14</v>
      </c>
    </row>
    <row r="15" spans="2:23" ht="15.75" thickBot="1" x14ac:dyDescent="0.3">
      <c r="B15" s="3">
        <v>14</v>
      </c>
      <c r="C15" s="2">
        <v>7690</v>
      </c>
      <c r="D15" s="3">
        <f t="shared" si="0"/>
        <v>7598.6461538461544</v>
      </c>
      <c r="E15" s="3">
        <f t="shared" si="1"/>
        <v>8345.5252071004816</v>
      </c>
      <c r="F15" s="9">
        <f t="shared" si="2"/>
        <v>890.79289940830904</v>
      </c>
      <c r="V15" s="41"/>
    </row>
    <row r="16" spans="2:23" x14ac:dyDescent="0.25">
      <c r="B16" s="3">
        <v>15</v>
      </c>
      <c r="C16" s="2">
        <v>7670</v>
      </c>
      <c r="D16" s="3">
        <f t="shared" si="0"/>
        <v>7628.4923076923078</v>
      </c>
      <c r="E16" s="3">
        <f t="shared" si="1"/>
        <v>1722.88852071005</v>
      </c>
      <c r="F16" s="9">
        <f t="shared" si="2"/>
        <v>3563.1715976331279</v>
      </c>
      <c r="K16" s="5"/>
      <c r="L16" s="5" t="s">
        <v>19</v>
      </c>
      <c r="M16" s="5" t="s">
        <v>7</v>
      </c>
      <c r="N16" s="5" t="s">
        <v>20</v>
      </c>
      <c r="O16" s="5" t="s">
        <v>21</v>
      </c>
      <c r="P16" s="5" t="s">
        <v>22</v>
      </c>
      <c r="Q16" s="5" t="s">
        <v>23</v>
      </c>
      <c r="R16" s="5" t="s">
        <v>24</v>
      </c>
      <c r="S16" s="5" t="s">
        <v>25</v>
      </c>
      <c r="T16" s="27"/>
      <c r="U16" t="str">
        <f>K6</f>
        <v>Adjusted R Square</v>
      </c>
      <c r="V16" s="43">
        <f>1-(1-RSQ(C2:C26,B2:B26))*(L14/L13)</f>
        <v>0.50863020946227566</v>
      </c>
      <c r="W16" t="str">
        <f ca="1">_xlfn.FORMULATEXT(V16)</f>
        <v>=1-(1-RSQ(C2:C26,B2:B26))*(L14/L13)</v>
      </c>
    </row>
    <row r="17" spans="1:23" x14ac:dyDescent="0.25">
      <c r="B17" s="3">
        <v>16</v>
      </c>
      <c r="C17" s="2">
        <v>7790</v>
      </c>
      <c r="D17" s="3">
        <f t="shared" si="0"/>
        <v>7658.3384615384621</v>
      </c>
      <c r="E17" s="3">
        <f t="shared" si="1"/>
        <v>17334.760710059032</v>
      </c>
      <c r="F17" s="9">
        <f t="shared" si="2"/>
        <v>8017.136094674619</v>
      </c>
      <c r="K17" t="s">
        <v>13</v>
      </c>
      <c r="L17" s="48">
        <v>7180.8</v>
      </c>
      <c r="M17" s="50">
        <v>87.279573094731987</v>
      </c>
      <c r="N17" s="56">
        <v>82.273546322299993</v>
      </c>
      <c r="O17" s="59">
        <v>6.4413691692445951E-30</v>
      </c>
      <c r="P17" s="63">
        <v>7000.2484468834573</v>
      </c>
      <c r="Q17" s="67">
        <v>7361.3515531165431</v>
      </c>
      <c r="R17">
        <v>7000.2484468834573</v>
      </c>
      <c r="S17">
        <v>7361.3515531165431</v>
      </c>
      <c r="V17" s="43">
        <f>1-((M13/L13)/(M14/L14))</f>
        <v>0.50863020946227544</v>
      </c>
      <c r="W17" t="str">
        <f t="shared" ref="W17:W25" ca="1" si="5">_xlfn.FORMULATEXT(V17)</f>
        <v>=1-((M13/L13)/(M14/L14))</v>
      </c>
    </row>
    <row r="18" spans="1:23" ht="15.75" thickBot="1" x14ac:dyDescent="0.3">
      <c r="B18" s="3">
        <v>17</v>
      </c>
      <c r="C18" s="2">
        <v>7430</v>
      </c>
      <c r="D18" s="3">
        <f t="shared" si="0"/>
        <v>7688.1846153846154</v>
      </c>
      <c r="E18" s="3">
        <f t="shared" si="1"/>
        <v>66659.29562130179</v>
      </c>
      <c r="F18" s="9">
        <f t="shared" si="2"/>
        <v>14252.686390532512</v>
      </c>
      <c r="K18" s="4" t="s">
        <v>26</v>
      </c>
      <c r="L18" s="51">
        <v>29.846153846153847</v>
      </c>
      <c r="M18" s="52">
        <v>5.871059429243874</v>
      </c>
      <c r="N18" s="57">
        <v>5.083606154195869</v>
      </c>
      <c r="O18" s="61">
        <v>3.7919395690170395E-5</v>
      </c>
      <c r="P18" s="64">
        <v>17.700942076625989</v>
      </c>
      <c r="Q18" s="68">
        <v>41.991365615681701</v>
      </c>
      <c r="R18" s="4">
        <v>17.700942076625989</v>
      </c>
      <c r="S18" s="4">
        <v>41.991365615681701</v>
      </c>
      <c r="V18" s="43">
        <f>1-((M13/M14)*(L14/L13))</f>
        <v>0.50863020946227544</v>
      </c>
      <c r="W18" t="str">
        <f t="shared" ca="1" si="5"/>
        <v>=1-((M13/M14)*(L14/L13))</v>
      </c>
    </row>
    <row r="19" spans="1:23" x14ac:dyDescent="0.25">
      <c r="B19" s="3">
        <v>18</v>
      </c>
      <c r="C19" s="2">
        <v>7720</v>
      </c>
      <c r="D19" s="3">
        <f t="shared" si="0"/>
        <v>7718.0307692307697</v>
      </c>
      <c r="E19" s="3">
        <f t="shared" si="1"/>
        <v>3.8778698224833885</v>
      </c>
      <c r="F19" s="9">
        <f t="shared" si="2"/>
        <v>22269.822485207183</v>
      </c>
      <c r="V19" s="41"/>
    </row>
    <row r="20" spans="1:23" x14ac:dyDescent="0.25">
      <c r="B20" s="3">
        <v>19</v>
      </c>
      <c r="C20" s="2">
        <v>7540</v>
      </c>
      <c r="D20" s="3">
        <f t="shared" si="0"/>
        <v>7747.876923076923</v>
      </c>
      <c r="E20" s="3">
        <f t="shared" si="1"/>
        <v>43212.815147928981</v>
      </c>
      <c r="F20" s="9">
        <f t="shared" si="2"/>
        <v>32068.544378698149</v>
      </c>
      <c r="U20" t="str">
        <f>K7</f>
        <v>Standard Error</v>
      </c>
      <c r="V20" s="39">
        <f>STEYX(C2:C26,B2:B26)</f>
        <v>211.68405813435132</v>
      </c>
      <c r="W20" t="str">
        <f t="shared" ca="1" si="5"/>
        <v>=STEYX(C2:C26,B2:B26)</v>
      </c>
    </row>
    <row r="21" spans="1:23" x14ac:dyDescent="0.25">
      <c r="B21" s="3">
        <v>20</v>
      </c>
      <c r="C21" s="2">
        <v>7330</v>
      </c>
      <c r="D21" s="3">
        <f t="shared" si="0"/>
        <v>7777.7230769230773</v>
      </c>
      <c r="E21" s="3">
        <f t="shared" si="1"/>
        <v>200455.9536094678</v>
      </c>
      <c r="F21" s="9">
        <f t="shared" si="2"/>
        <v>43648.852071006004</v>
      </c>
      <c r="V21" s="39" cm="1">
        <f t="array" ref="V21">SQRT(SUMSQ(C2:C26-D2:D26)/(COUNT(C2:C26)-2))</f>
        <v>211.68405813435132</v>
      </c>
      <c r="W21" t="str">
        <f ca="1">_xlfn.FORMULATEXT(V21)</f>
        <v>=SQRT(SUMSQ(C2:C26-D2:D26)/(COUNT(C2:C26)-2))</v>
      </c>
    </row>
    <row r="22" spans="1:23" x14ac:dyDescent="0.25">
      <c r="B22" s="3">
        <v>21</v>
      </c>
      <c r="C22" s="2">
        <v>7830</v>
      </c>
      <c r="D22" s="3">
        <f t="shared" si="0"/>
        <v>7807.5692307692307</v>
      </c>
      <c r="E22" s="3">
        <f t="shared" si="1"/>
        <v>503.13940828402804</v>
      </c>
      <c r="F22" s="9">
        <f t="shared" si="2"/>
        <v>57010.745562130047</v>
      </c>
      <c r="K22" t="s">
        <v>27</v>
      </c>
      <c r="V22" s="40">
        <f>SQRT(N13)</f>
        <v>211.68405813435132</v>
      </c>
      <c r="W22" t="str">
        <f ca="1">_xlfn.FORMULATEXT(V22)</f>
        <v>=SQRT(N13)</v>
      </c>
    </row>
    <row r="23" spans="1:23" ht="15.75" thickBot="1" x14ac:dyDescent="0.3">
      <c r="B23" s="3">
        <v>22</v>
      </c>
      <c r="C23" s="2">
        <v>7680</v>
      </c>
      <c r="D23" s="3">
        <f t="shared" si="0"/>
        <v>7837.4153846153849</v>
      </c>
      <c r="E23" s="3">
        <f t="shared" si="1"/>
        <v>24779.603313609568</v>
      </c>
      <c r="F23" s="9">
        <f t="shared" si="2"/>
        <v>72154.224852071085</v>
      </c>
      <c r="U23" s="27"/>
      <c r="V23" s="39">
        <f>SQRT(M13/L13)</f>
        <v>211.68405813435132</v>
      </c>
      <c r="W23" t="str">
        <f t="shared" ca="1" si="5"/>
        <v>=SQRT(M13/L13)</v>
      </c>
    </row>
    <row r="24" spans="1:23" x14ac:dyDescent="0.25">
      <c r="B24" s="3">
        <v>23</v>
      </c>
      <c r="C24" s="2">
        <v>8300</v>
      </c>
      <c r="D24" s="3">
        <f t="shared" si="0"/>
        <v>7867.2615384615383</v>
      </c>
      <c r="E24" s="3">
        <f t="shared" si="1"/>
        <v>187262.5760946747</v>
      </c>
      <c r="F24" s="9">
        <f t="shared" si="2"/>
        <v>89079.289940828196</v>
      </c>
      <c r="K24" s="5" t="s">
        <v>28</v>
      </c>
      <c r="L24" s="5" t="s">
        <v>29</v>
      </c>
      <c r="M24" s="5" t="s">
        <v>30</v>
      </c>
      <c r="N24" s="5" t="s">
        <v>31</v>
      </c>
    </row>
    <row r="25" spans="1:23" x14ac:dyDescent="0.25">
      <c r="B25" s="3">
        <v>24</v>
      </c>
      <c r="C25" s="2">
        <v>8010</v>
      </c>
      <c r="D25" s="3">
        <f t="shared" si="0"/>
        <v>7897.1076923076926</v>
      </c>
      <c r="E25" s="3">
        <f t="shared" si="1"/>
        <v>12744.673136094618</v>
      </c>
      <c r="F25" s="9">
        <f>(D25-AVERAGE($C$2:$C$26))^2</f>
        <v>107785.94082840241</v>
      </c>
      <c r="K25">
        <v>1</v>
      </c>
      <c r="L25">
        <v>7210.6461538461544</v>
      </c>
      <c r="M25">
        <v>-160.64615384615445</v>
      </c>
      <c r="N25">
        <v>-0.77521806115047553</v>
      </c>
      <c r="O25">
        <f>M25/_xlfn.STDEV.S($M$25:$M$49)</f>
        <v>-0.77521806115047553</v>
      </c>
      <c r="P25" t="str">
        <f ca="1">_xlfn.FORMULATEXT(O25)</f>
        <v>=M25/STDEV.S($M$25:$M$49)</v>
      </c>
      <c r="U25" t="str">
        <f>K8</f>
        <v>Observations</v>
      </c>
      <c r="V25" s="29">
        <f>COUNT(B2:B26)</f>
        <v>25</v>
      </c>
      <c r="W25" t="str">
        <f t="shared" ca="1" si="5"/>
        <v>=COUNT(B2:B26)</v>
      </c>
    </row>
    <row r="26" spans="1:23" x14ac:dyDescent="0.25">
      <c r="B26" s="3">
        <v>25</v>
      </c>
      <c r="C26" s="2">
        <v>8120</v>
      </c>
      <c r="D26" s="3">
        <f t="shared" si="0"/>
        <v>7926.9538461538468</v>
      </c>
      <c r="E26" s="3">
        <f t="shared" si="1"/>
        <v>37266.817514792638</v>
      </c>
      <c r="F26" s="9">
        <f t="shared" si="2"/>
        <v>128274.17751479325</v>
      </c>
      <c r="K26">
        <v>2</v>
      </c>
      <c r="L26">
        <v>7240.4923076923078</v>
      </c>
      <c r="M26">
        <v>529.5076923076922</v>
      </c>
      <c r="N26">
        <v>2.5552054423172725</v>
      </c>
      <c r="O26">
        <f t="shared" ref="O26:O49" si="6">M26/_xlfn.STDEV.S($M$25:$M$49)</f>
        <v>2.5552054423172725</v>
      </c>
      <c r="P26" t="str">
        <f t="shared" ref="P26:P49" ca="1" si="7">_xlfn.FORMULATEXT(O26)</f>
        <v>=M26/STDEV.S($M$25:$M$49)</v>
      </c>
    </row>
    <row r="27" spans="1:23" x14ac:dyDescent="0.25">
      <c r="A27" s="11" t="s">
        <v>41</v>
      </c>
      <c r="B27" s="1">
        <f>SUM(B2:B26)</f>
        <v>325</v>
      </c>
      <c r="C27" s="1">
        <f t="shared" ref="C27:F27" si="8">SUM(C2:C26)</f>
        <v>189220</v>
      </c>
      <c r="D27" s="1">
        <f t="shared" si="8"/>
        <v>189220.00000000006</v>
      </c>
      <c r="E27" s="20">
        <f t="shared" si="8"/>
        <v>1030633.2307692306</v>
      </c>
      <c r="F27" s="18">
        <f t="shared" si="8"/>
        <v>1158030.769230769</v>
      </c>
      <c r="G27" s="44">
        <f>E27+F27</f>
        <v>2188663.9999999995</v>
      </c>
      <c r="H27" t="str">
        <f ca="1">_xlfn.FORMULATEXT(G27)</f>
        <v>=E27+F27</v>
      </c>
      <c r="K27">
        <v>3</v>
      </c>
      <c r="L27">
        <v>7270.3384615384621</v>
      </c>
      <c r="M27">
        <v>-70.33846153846207</v>
      </c>
      <c r="N27">
        <v>-0.33942702313541351</v>
      </c>
      <c r="O27">
        <f t="shared" si="6"/>
        <v>-0.33942702313541351</v>
      </c>
      <c r="P27" t="str">
        <f t="shared" ca="1" si="7"/>
        <v>=M27/STDEV.S($M$25:$M$49)</v>
      </c>
      <c r="U27" t="str">
        <f>K12</f>
        <v>Regression</v>
      </c>
      <c r="V27" s="30">
        <v>1</v>
      </c>
      <c r="W27" s="10" t="s">
        <v>40</v>
      </c>
    </row>
    <row r="28" spans="1:23" x14ac:dyDescent="0.25">
      <c r="E28" s="19" t="s">
        <v>38</v>
      </c>
      <c r="F28" s="17" t="s">
        <v>39</v>
      </c>
      <c r="G28" s="21" t="s">
        <v>37</v>
      </c>
      <c r="K28">
        <v>4</v>
      </c>
      <c r="L28">
        <v>7300.1846153846154</v>
      </c>
      <c r="M28">
        <v>-90.184615384615427</v>
      </c>
      <c r="N28">
        <v>-0.43519711496495622</v>
      </c>
      <c r="U28" t="str">
        <f>K13</f>
        <v>Residual</v>
      </c>
      <c r="V28" s="31">
        <f>L8-2</f>
        <v>23</v>
      </c>
      <c r="W28" t="str">
        <f ca="1">_xlfn.FORMULATEXT(V28)</f>
        <v>=L8-2</v>
      </c>
    </row>
    <row r="29" spans="1:23" x14ac:dyDescent="0.25">
      <c r="C29" s="21">
        <f>DEVSQ(C2:C26)</f>
        <v>2188664</v>
      </c>
      <c r="D29" t="str">
        <f ca="1">_xlfn.FORMULATEXT(C29)</f>
        <v>=DEVSQ(C2:C26)</v>
      </c>
      <c r="K29">
        <v>5</v>
      </c>
      <c r="L29">
        <v>7330.0307692307697</v>
      </c>
      <c r="M29">
        <v>89.969230769230307</v>
      </c>
      <c r="N29">
        <v>0.43415774962726877</v>
      </c>
      <c r="U29" t="str">
        <f>K14</f>
        <v>Total</v>
      </c>
      <c r="V29" s="33">
        <f>L8-1</f>
        <v>24</v>
      </c>
      <c r="W29" t="str">
        <f ca="1">_xlfn.FORMULATEXT(V29)</f>
        <v>=L8-1</v>
      </c>
    </row>
    <row r="30" spans="1:23" x14ac:dyDescent="0.25">
      <c r="C30" s="21" t="s">
        <v>37</v>
      </c>
      <c r="K30">
        <v>6</v>
      </c>
      <c r="L30">
        <v>7359.876923076923</v>
      </c>
      <c r="M30">
        <v>20.123076923076951</v>
      </c>
      <c r="N30">
        <v>9.710641869228305E-2</v>
      </c>
    </row>
    <row r="31" spans="1:23" x14ac:dyDescent="0.25">
      <c r="K31">
        <v>7</v>
      </c>
      <c r="L31">
        <v>7389.7230769230773</v>
      </c>
      <c r="M31">
        <v>-39.723076923077315</v>
      </c>
      <c r="N31">
        <v>-0.19168866442161847</v>
      </c>
      <c r="U31" t="str">
        <f>M11&amp;"R"</f>
        <v>SSR</v>
      </c>
      <c r="V31" s="70" cm="1">
        <f t="array" ref="V31">SUM((D2:D26-AVERAGE($C$2:$C$26))^2)</f>
        <v>1158030.769230769</v>
      </c>
      <c r="W31" t="str">
        <f t="shared" ref="W31:W47" ca="1" si="9">_xlfn.FORMULATEXT(V31)</f>
        <v>=SUM((D2:D26-AVERAGE($C$2:$C$26))^2)</v>
      </c>
    </row>
    <row r="32" spans="1:23" x14ac:dyDescent="0.25">
      <c r="K32">
        <v>8</v>
      </c>
      <c r="L32">
        <v>7419.5692307692307</v>
      </c>
      <c r="M32">
        <v>-159.56923076923067</v>
      </c>
      <c r="N32">
        <v>-0.77002123446204729</v>
      </c>
      <c r="V32" s="45"/>
    </row>
    <row r="33" spans="11:25" x14ac:dyDescent="0.25">
      <c r="K33">
        <v>9</v>
      </c>
      <c r="L33">
        <v>7449.4153846153849</v>
      </c>
      <c r="M33">
        <v>0.58461538461506279</v>
      </c>
      <c r="N33">
        <v>2.82113448800055E-3</v>
      </c>
      <c r="U33" t="str">
        <f>M11&amp;"E"</f>
        <v>SSE</v>
      </c>
      <c r="V33" s="35" cm="1">
        <f t="array" ref="V33">SUM((C2:C26-D2:D26)^2)</f>
        <v>1030633.2307692306</v>
      </c>
      <c r="W33" t="str">
        <f t="shared" ca="1" si="9"/>
        <v>=SUM((C2:C26-D2:D26)^2)</v>
      </c>
    </row>
    <row r="34" spans="11:25" x14ac:dyDescent="0.25">
      <c r="K34">
        <v>10</v>
      </c>
      <c r="L34">
        <v>7479.2615384615383</v>
      </c>
      <c r="M34">
        <v>-229.26153846153829</v>
      </c>
      <c r="N34">
        <v>-1.1063301615844028</v>
      </c>
      <c r="V34" s="45"/>
    </row>
    <row r="35" spans="11:25" x14ac:dyDescent="0.25">
      <c r="K35">
        <v>11</v>
      </c>
      <c r="L35">
        <v>7509.1076923076926</v>
      </c>
      <c r="M35">
        <v>90.89230769230744</v>
      </c>
      <c r="N35">
        <v>0.43861217250306261</v>
      </c>
      <c r="U35" t="str">
        <f>M11&amp;"T"</f>
        <v>SST</v>
      </c>
      <c r="V35" s="36">
        <f>DEVSQ(C2:C26)</f>
        <v>2188664</v>
      </c>
      <c r="W35" t="str">
        <f t="shared" ca="1" si="9"/>
        <v>=DEVSQ(C2:C26)</v>
      </c>
    </row>
    <row r="36" spans="11:25" x14ac:dyDescent="0.25">
      <c r="K36">
        <v>12</v>
      </c>
      <c r="L36">
        <v>7538.9538461538468</v>
      </c>
      <c r="M36">
        <v>111.04615384615317</v>
      </c>
      <c r="N36">
        <v>0.53586707195786987</v>
      </c>
    </row>
    <row r="37" spans="11:25" x14ac:dyDescent="0.25">
      <c r="K37">
        <v>13</v>
      </c>
      <c r="L37">
        <v>7568.8</v>
      </c>
      <c r="M37">
        <v>-48.800000000000182</v>
      </c>
      <c r="N37">
        <v>-0.23549048936691327</v>
      </c>
      <c r="U37" t="str">
        <f>N11&amp;"R"</f>
        <v>MSR</v>
      </c>
      <c r="V37" s="22">
        <f>M12/L12</f>
        <v>1158030.769230769</v>
      </c>
      <c r="W37" t="str">
        <f t="shared" ca="1" si="9"/>
        <v>=M12/L12</v>
      </c>
    </row>
    <row r="38" spans="11:25" x14ac:dyDescent="0.25">
      <c r="K38">
        <v>14</v>
      </c>
      <c r="L38">
        <v>7598.6461538461544</v>
      </c>
      <c r="M38">
        <v>91.353846153845552</v>
      </c>
      <c r="N38">
        <v>0.44083938394095729</v>
      </c>
      <c r="V38" s="22" cm="1">
        <f t="array" ref="V38">SUM((D2:D26-AVERAGE($C$2:$C$26))^2)/1</f>
        <v>1158030.769230769</v>
      </c>
      <c r="W38" t="str">
        <f t="shared" ca="1" si="9"/>
        <v>=SUM((D2:D26-AVERAGE($C$2:$C$26))^2)/1</v>
      </c>
    </row>
    <row r="39" spans="11:25" x14ac:dyDescent="0.25">
      <c r="K39">
        <v>15</v>
      </c>
      <c r="L39">
        <v>7628.4923076923078</v>
      </c>
      <c r="M39">
        <v>41.507692307692196</v>
      </c>
      <c r="N39">
        <v>0.20030054864814878</v>
      </c>
    </row>
    <row r="40" spans="11:25" x14ac:dyDescent="0.25">
      <c r="K40">
        <v>16</v>
      </c>
      <c r="L40">
        <v>7658.3384615384621</v>
      </c>
      <c r="M40">
        <v>131.66153846153793</v>
      </c>
      <c r="N40">
        <v>0.63534918285057629</v>
      </c>
      <c r="U40" t="str">
        <f>N11&amp;"E"</f>
        <v>MSE</v>
      </c>
      <c r="V40" s="46">
        <f>M13/L13</f>
        <v>44810.14046822743</v>
      </c>
      <c r="W40" t="str">
        <f t="shared" ca="1" si="9"/>
        <v>=M13/L13</v>
      </c>
    </row>
    <row r="41" spans="11:25" x14ac:dyDescent="0.25">
      <c r="K41">
        <v>17</v>
      </c>
      <c r="L41">
        <v>7688.1846153846154</v>
      </c>
      <c r="M41">
        <v>-258.18461538461543</v>
      </c>
      <c r="N41">
        <v>-1.2459020783592447</v>
      </c>
      <c r="V41" s="72" cm="1">
        <f t="array" ref="V41">SUM((C2:C26-D2:D26)^2)/23</f>
        <v>44810.140468227422</v>
      </c>
      <c r="W41" t="str">
        <f t="shared" ca="1" si="9"/>
        <v>=SUM((C2:C26-D2:D26)^2)/23</v>
      </c>
    </row>
    <row r="42" spans="11:25" x14ac:dyDescent="0.25">
      <c r="K42">
        <v>18</v>
      </c>
      <c r="L42">
        <v>7718.0307692307697</v>
      </c>
      <c r="M42">
        <v>1.9692307692303075</v>
      </c>
      <c r="N42">
        <v>9.5027688016890658E-3</v>
      </c>
      <c r="V42" s="72" cm="1">
        <f t="array" ref="V42">SUM((C2:C26-TREND(C2:C26,B2:B26))^2)/23</f>
        <v>44810.140468227422</v>
      </c>
      <c r="W42" t="str">
        <f t="shared" ca="1" si="9"/>
        <v>=SUM((C2:C26-TREND(C2:C26,B2:B26))^2)/23</v>
      </c>
    </row>
    <row r="43" spans="11:25" x14ac:dyDescent="0.25">
      <c r="K43">
        <v>19</v>
      </c>
      <c r="L43">
        <v>7747.876923076923</v>
      </c>
      <c r="M43">
        <v>-207.87692307692305</v>
      </c>
      <c r="N43">
        <v>-1.0031360316285372</v>
      </c>
      <c r="Y43" s="71"/>
    </row>
    <row r="44" spans="11:25" x14ac:dyDescent="0.25">
      <c r="K44">
        <v>20</v>
      </c>
      <c r="L44">
        <v>7777.7230769230773</v>
      </c>
      <c r="M44">
        <v>-447.72307692307731</v>
      </c>
      <c r="N44">
        <v>-2.1605435755220337</v>
      </c>
      <c r="U44" t="str">
        <f>O11</f>
        <v>F</v>
      </c>
      <c r="V44" s="47">
        <f>N12/N13</f>
        <v>25.843051530978109</v>
      </c>
      <c r="W44" t="str">
        <f t="shared" ca="1" si="9"/>
        <v>=N12/N13</v>
      </c>
      <c r="Y44" s="10"/>
    </row>
    <row r="45" spans="11:25" x14ac:dyDescent="0.25">
      <c r="K45">
        <v>21</v>
      </c>
      <c r="L45">
        <v>7807.5692307692307</v>
      </c>
      <c r="M45">
        <v>22.430769230769329</v>
      </c>
      <c r="N45">
        <v>0.10824247588176537</v>
      </c>
      <c r="Q45" s="1"/>
      <c r="V45" s="47" cm="1">
        <f t="array" ref="V45">(SUM((D2:D26-AVERAGE($C$2:$C$26))^2)/1)/(SUM((C2:C26-TREND(C2:C26,B2:B26))^2)/23)</f>
        <v>25.843051530978112</v>
      </c>
      <c r="W45" t="str">
        <f t="shared" ca="1" si="9"/>
        <v>=(SUM((D2:D26-AVERAGE($C$2:$C$26))^2)/1)/(SUM((C2:C26-TREND(C2:C26,B2:B26))^2)/23)</v>
      </c>
      <c r="Y45" s="10"/>
    </row>
    <row r="46" spans="11:25" x14ac:dyDescent="0.25">
      <c r="K46">
        <v>22</v>
      </c>
      <c r="L46">
        <v>7837.4153846153849</v>
      </c>
      <c r="M46">
        <v>-157.41538461538494</v>
      </c>
      <c r="N46">
        <v>-0.75962758108519945</v>
      </c>
      <c r="O46">
        <f t="shared" si="6"/>
        <v>-0.75962758108519945</v>
      </c>
      <c r="P46" t="str">
        <f t="shared" ca="1" si="7"/>
        <v>=M46/STDEV.S($M$25:$M$49)</v>
      </c>
    </row>
    <row r="47" spans="11:25" x14ac:dyDescent="0.25">
      <c r="K47">
        <v>23</v>
      </c>
      <c r="L47">
        <v>7867.2615384615383</v>
      </c>
      <c r="M47">
        <v>432.73846153846171</v>
      </c>
      <c r="N47">
        <v>2.0882334441716628</v>
      </c>
      <c r="O47">
        <f t="shared" si="6"/>
        <v>2.0882334441716628</v>
      </c>
      <c r="P47" t="str">
        <f t="shared" ca="1" si="7"/>
        <v>=M47/STDEV.S($M$25:$M$49)</v>
      </c>
      <c r="Q47" s="1"/>
      <c r="U47" t="str">
        <f>P11</f>
        <v>Significance F</v>
      </c>
      <c r="V47" s="26">
        <f>_xlfn.F.DIST.RT(O12,L12,L13)</f>
        <v>3.7919395690170463E-5</v>
      </c>
      <c r="W47" t="str">
        <f t="shared" ca="1" si="9"/>
        <v>=F.DIST.RT(O12,L12,L13)</v>
      </c>
    </row>
    <row r="48" spans="11:25" x14ac:dyDescent="0.25">
      <c r="K48">
        <v>24</v>
      </c>
      <c r="L48">
        <v>7897.1076923076926</v>
      </c>
      <c r="M48">
        <v>112.89230769230744</v>
      </c>
      <c r="N48">
        <v>0.54477591770945755</v>
      </c>
      <c r="O48">
        <f t="shared" si="6"/>
        <v>0.54477591770945755</v>
      </c>
      <c r="P48" t="str">
        <f t="shared" ca="1" si="7"/>
        <v>=M48/STDEV.S($M$25:$M$49)</v>
      </c>
      <c r="Q48" s="10"/>
    </row>
    <row r="49" spans="11:23" ht="15.75" thickBot="1" x14ac:dyDescent="0.3">
      <c r="K49" s="4">
        <v>25</v>
      </c>
      <c r="L49" s="4">
        <v>7926.9538461538468</v>
      </c>
      <c r="M49" s="4">
        <v>193.04615384615317</v>
      </c>
      <c r="N49" s="4">
        <v>0.9315683040907965</v>
      </c>
      <c r="O49">
        <f t="shared" si="6"/>
        <v>0.9315683040907965</v>
      </c>
      <c r="P49" t="str">
        <f t="shared" ca="1" si="7"/>
        <v>=M49/STDEV.S($M$25:$M$49)</v>
      </c>
      <c r="Q49" s="10"/>
      <c r="U49" t="str">
        <f>K17</f>
        <v>Intercept</v>
      </c>
      <c r="V49" s="49">
        <f>INTERCEPT(C2:C26,B2:B26)</f>
        <v>7180.8</v>
      </c>
      <c r="W49" t="str">
        <f ca="1">_xlfn.FORMULATEXT(V49)</f>
        <v>=INTERCEPT(C2:C26,B2:B26)</v>
      </c>
    </row>
    <row r="50" spans="11:23" x14ac:dyDescent="0.25">
      <c r="V50" s="49">
        <f>(SUM(C2:C26)/COUNT(C2:C26))-(V52*(SUM(B2:B26))/COUNT(B2:B26))</f>
        <v>7180.8</v>
      </c>
      <c r="W50" t="str">
        <f ca="1">_xlfn.FORMULATEXT(V50)</f>
        <v>=(SUM(C2:C26)/COUNT(C2:C26))-(V52*(SUM(B2:B26))/COUNT(B2:B26))</v>
      </c>
    </row>
    <row r="51" spans="11:23" x14ac:dyDescent="0.25">
      <c r="Q51" s="9"/>
    </row>
    <row r="52" spans="11:23" x14ac:dyDescent="0.25">
      <c r="U52" t="str">
        <f>K18</f>
        <v>X Variable 1</v>
      </c>
      <c r="V52" s="53">
        <f>SLOPE(C2:C26,B2:B26)</f>
        <v>29.846153846153847</v>
      </c>
      <c r="W52" t="str">
        <f ca="1">_xlfn.FORMULATEXT(V52)</f>
        <v>=SLOPE(C2:C26,B2:B26)</v>
      </c>
    </row>
    <row r="53" spans="11:23" x14ac:dyDescent="0.25">
      <c r="V53" s="54">
        <f>(SUMPRODUCT(B2:B26,C2:C26)-(B27*C27)/COUNT(B2:B26))/(SUMSQ(B2:B26)-(B27^2)/COUNT(B2:B26))</f>
        <v>29.846153846153847</v>
      </c>
      <c r="W53" t="str">
        <f ca="1">_xlfn.FORMULATEXT(V53)</f>
        <v>=(SUMPRODUCT(B2:B26,C2:C26)-(B27*C27)/COUNT(B2:B26))/(SUMSQ(B2:B26)-(B27^2)/COUNT(B2:B26))</v>
      </c>
    </row>
    <row r="54" spans="11:23" x14ac:dyDescent="0.25">
      <c r="V54" s="54">
        <f>CORREL(B2:B26,C2:C26)*(_xlfn.STDEV.S(C2:C26)/_xlfn.STDEV.S(B2:B26))</f>
        <v>29.84615384615385</v>
      </c>
      <c r="W54" t="str">
        <f ca="1">_xlfn.FORMULATEXT(V54)</f>
        <v>=CORREL(B2:B26,C2:C26)*(STDEV.S(C2:C26)/STDEV.S(B2:B26))</v>
      </c>
    </row>
    <row r="56" spans="11:23" x14ac:dyDescent="0.25">
      <c r="U56" t="str">
        <f>M16</f>
        <v>Standard Error</v>
      </c>
      <c r="V56" s="50">
        <f>SQRT(N13*(1/COUNT(B2:B26)+((AVERAGE(B2:B26))^2/(SUMSQ(B2:B26)-(1/COUNT(B2:B26)*(SUM(B2:B26))^2)))))</f>
        <v>87.279573094731987</v>
      </c>
      <c r="W56" t="str">
        <f ca="1">_xlfn.FORMULATEXT(V56)</f>
        <v>=SQRT(N13*(1/COUNT(B2:B26)+((AVERAGE(B2:B26))^2/(SUMSQ(B2:B26)-(1/COUNT(B2:B26)*(SUM(B2:B26))^2)))))</v>
      </c>
    </row>
    <row r="58" spans="11:23" x14ac:dyDescent="0.25">
      <c r="U58" t="str">
        <f>M16</f>
        <v>Standard Error</v>
      </c>
      <c r="V58" s="55">
        <f>SQRT(N13/(SUMSQ(B2:B26)-(1/COUNT(B2:B26)*(SUM(B2:B26))^2)))</f>
        <v>5.871059429243874</v>
      </c>
      <c r="W58" t="str">
        <f ca="1">_xlfn.FORMULATEXT(V58)</f>
        <v>=SQRT(N13/(SUMSQ(B2:B26)-(1/COUNT(B2:B26)*(SUM(B2:B26))^2)))</v>
      </c>
    </row>
    <row r="60" spans="11:23" x14ac:dyDescent="0.25">
      <c r="U60" t="str">
        <f>N16</f>
        <v>t Stat</v>
      </c>
      <c r="V60" s="73">
        <f>L17/M17</f>
        <v>82.273546322299993</v>
      </c>
      <c r="W60" t="str">
        <f ca="1">_xlfn.FORMULATEXT(V60)</f>
        <v>=L17/M17</v>
      </c>
    </row>
    <row r="61" spans="11:23" x14ac:dyDescent="0.25">
      <c r="V61" s="73">
        <f>INTERCEPT(C2:C26,B2:B26)/(SQRT(N13*(1/COUNT(B2:B26)+((AVERAGE(B2:B26))^2/(SUMSQ(B2:B26)-(1/COUNT(B2:B26)*(SUM(B2:B26))^2))))))</f>
        <v>82.273546322299993</v>
      </c>
      <c r="W61" t="str">
        <f ca="1">_xlfn.FORMULATEXT(V61)</f>
        <v>=INTERCEPT(C2:C26,B2:B26)/(SQRT(N13*(1/COUNT(B2:B26)+((AVERAGE(B2:B26))^2/(SUMSQ(B2:B26)-(1/COUNT(B2:B26)*(SUM(B2:B26))^2))))))</v>
      </c>
    </row>
    <row r="63" spans="11:23" x14ac:dyDescent="0.25">
      <c r="U63" t="str">
        <f>N16</f>
        <v>t Stat</v>
      </c>
      <c r="V63" s="74">
        <f>L18/M18</f>
        <v>5.083606154195869</v>
      </c>
      <c r="W63" t="str">
        <f t="shared" ref="W63:W76" ca="1" si="10">_xlfn.FORMULATEXT(V63)</f>
        <v>=L18/M18</v>
      </c>
    </row>
    <row r="64" spans="11:23" x14ac:dyDescent="0.25">
      <c r="V64" s="74">
        <f>SLOPE(C2:C26,B2:B26)/(SQRT(N13/(SUMSQ(B2:B26)-(1/COUNT(B2:B26)*(SUM(B2:B26))^2))))</f>
        <v>5.083606154195869</v>
      </c>
      <c r="W64" t="str">
        <f t="shared" ca="1" si="10"/>
        <v>=SLOPE(C2:C26,B2:B26)/(SQRT(N13/(SUMSQ(B2:B26)-(1/COUNT(B2:B26)*(SUM(B2:B26))^2))))</v>
      </c>
    </row>
    <row r="66" spans="21:23" x14ac:dyDescent="0.25">
      <c r="U66" t="str">
        <f>O16</f>
        <v>P-value</v>
      </c>
      <c r="V66" s="60">
        <f>_xlfn.T.DIST.2T(ABS(N17),23)</f>
        <v>6.4413691692445951E-30</v>
      </c>
      <c r="W66" t="str">
        <f t="shared" ca="1" si="10"/>
        <v>=T.DIST.2T(ABS(N17),23)</v>
      </c>
    </row>
    <row r="67" spans="21:23" x14ac:dyDescent="0.25">
      <c r="V67" s="58"/>
    </row>
    <row r="68" spans="21:23" x14ac:dyDescent="0.25">
      <c r="U68" t="str">
        <f>O16</f>
        <v>P-value</v>
      </c>
      <c r="V68" s="62">
        <f>_xlfn.T.DIST.2T(N18,23)</f>
        <v>3.7919395690170395E-5</v>
      </c>
      <c r="W68" t="str">
        <f t="shared" ca="1" si="10"/>
        <v>=T.DIST.2T(N18,23)</v>
      </c>
    </row>
    <row r="70" spans="21:23" x14ac:dyDescent="0.25">
      <c r="U70" t="str">
        <f>P16</f>
        <v>Lower 95%</v>
      </c>
      <c r="V70" s="65">
        <f>L17+($V$76*M17)</f>
        <v>7361.3515531165431</v>
      </c>
      <c r="W70" t="str">
        <f t="shared" ca="1" si="10"/>
        <v>=L17+($V$76*M17)</v>
      </c>
    </row>
    <row r="71" spans="21:23" x14ac:dyDescent="0.25">
      <c r="V71" s="65">
        <f>L18+($V$76*M18)</f>
        <v>41.991365615681701</v>
      </c>
      <c r="W71" t="str">
        <f t="shared" ca="1" si="10"/>
        <v>=L18+($V$76*M18)</v>
      </c>
    </row>
    <row r="73" spans="21:23" x14ac:dyDescent="0.25">
      <c r="U73" t="str">
        <f>Q16</f>
        <v>Upper 95%</v>
      </c>
      <c r="V73" s="66">
        <f>L17-($V$76*M17)</f>
        <v>7000.2484468834573</v>
      </c>
      <c r="W73" t="str">
        <f t="shared" ca="1" si="10"/>
        <v>=L17-($V$76*M17)</v>
      </c>
    </row>
    <row r="74" spans="21:23" x14ac:dyDescent="0.25">
      <c r="V74" s="66">
        <f>L18-($V$76*M18)</f>
        <v>17.700942076625989</v>
      </c>
      <c r="W74" t="str">
        <f t="shared" ca="1" si="10"/>
        <v>=L18-($V$76*M18)</v>
      </c>
    </row>
    <row r="76" spans="21:23" x14ac:dyDescent="0.25">
      <c r="U76" t="s">
        <v>42</v>
      </c>
      <c r="V76" s="10">
        <f>_xlfn.T.INV.2T(0.05,23)</f>
        <v>2.0686576104190491</v>
      </c>
      <c r="W76" t="str">
        <f t="shared" ca="1" si="10"/>
        <v>=T.INV.2T(0.05,23)</v>
      </c>
    </row>
  </sheetData>
  <pageMargins left="0.7" right="0.7" top="0.75" bottom="0.75" header="0.3" footer="0.3"/>
  <pageSetup orientation="portrait" r:id="rId1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9A1B327-B6EF-4B1C-8F2C-FE977DFF29CB}">
  <dimension ref="A1:W70"/>
  <sheetViews>
    <sheetView zoomScale="90" zoomScaleNormal="90" workbookViewId="0">
      <selection activeCell="K1" sqref="K1"/>
    </sheetView>
  </sheetViews>
  <sheetFormatPr defaultRowHeight="15" x14ac:dyDescent="0.25"/>
  <cols>
    <col min="1" max="1" width="6" customWidth="1"/>
    <col min="3" max="3" width="12.42578125" customWidth="1"/>
    <col min="5" max="5" width="9.42578125" customWidth="1"/>
    <col min="11" max="11" width="17" customWidth="1"/>
    <col min="12" max="13" width="13.42578125" customWidth="1"/>
    <col min="14" max="14" width="18" customWidth="1"/>
    <col min="15" max="15" width="13.28515625" customWidth="1"/>
    <col min="16" max="19" width="12.5703125" customWidth="1"/>
    <col min="21" max="21" width="15.28515625" customWidth="1"/>
    <col min="22" max="22" width="14" customWidth="1"/>
    <col min="23" max="23" width="17.7109375" bestFit="1" customWidth="1"/>
  </cols>
  <sheetData>
    <row r="1" spans="2:23" x14ac:dyDescent="0.25">
      <c r="B1" t="s">
        <v>0</v>
      </c>
      <c r="C1" t="s">
        <v>1</v>
      </c>
      <c r="D1" s="7"/>
      <c r="K1" t="s">
        <v>2</v>
      </c>
    </row>
    <row r="2" spans="2:23" ht="15.75" thickBot="1" x14ac:dyDescent="0.3">
      <c r="B2" s="1">
        <v>75.103999999999999</v>
      </c>
      <c r="C2" s="2">
        <v>7050</v>
      </c>
      <c r="D2" s="3"/>
      <c r="E2" s="8"/>
    </row>
    <row r="3" spans="2:23" x14ac:dyDescent="0.25">
      <c r="B3" s="1">
        <v>75.263999999999996</v>
      </c>
      <c r="C3" s="2">
        <v>7770</v>
      </c>
      <c r="D3" s="3"/>
      <c r="E3" s="8"/>
      <c r="K3" s="6" t="s">
        <v>3</v>
      </c>
      <c r="L3" s="6"/>
    </row>
    <row r="4" spans="2:23" x14ac:dyDescent="0.25">
      <c r="B4" s="1">
        <v>75.138000000000005</v>
      </c>
      <c r="C4" s="2">
        <v>7200</v>
      </c>
      <c r="D4" s="3"/>
      <c r="E4" s="8"/>
      <c r="K4" t="s">
        <v>4</v>
      </c>
      <c r="L4" s="12">
        <v>0.69490600026319005</v>
      </c>
      <c r="U4" t="str">
        <f>K4</f>
        <v>Multiple R</v>
      </c>
      <c r="V4" s="37">
        <f>CORREL(B2:B26,C2:C26)</f>
        <v>0.69490600026319027</v>
      </c>
      <c r="W4" t="str">
        <f ca="1">_xlfn.FORMULATEXT(V4)</f>
        <v>=CORREL(B2:B26,C2:C26)</v>
      </c>
    </row>
    <row r="5" spans="2:23" x14ac:dyDescent="0.25">
      <c r="B5" s="1">
        <v>75.007000000000005</v>
      </c>
      <c r="C5" s="2">
        <v>7210</v>
      </c>
      <c r="D5" s="3"/>
      <c r="E5" s="8"/>
      <c r="K5" t="s">
        <v>5</v>
      </c>
      <c r="L5" s="13">
        <v>0.48289434920178503</v>
      </c>
      <c r="V5" s="37">
        <f>_xlfn.COVARIANCE.S(B2:B26,C2:C26)/SQRT(_xlfn.VAR.S(B2:B26)*_xlfn.VAR.S(C2:C26))</f>
        <v>0.69490600026319027</v>
      </c>
      <c r="W5" t="str">
        <f t="shared" ref="W5:W8" ca="1" si="0">_xlfn.FORMULATEXT(V5)</f>
        <v>=COVARIANCE.S(B2:B26,C2:C26)/SQRT(VAR.S(B2:B26)*VAR.S(C2:C26))</v>
      </c>
    </row>
    <row r="6" spans="2:23" x14ac:dyDescent="0.25">
      <c r="B6" s="1">
        <v>75.075999999999993</v>
      </c>
      <c r="C6" s="2">
        <v>7420</v>
      </c>
      <c r="D6" s="3"/>
      <c r="E6" s="8"/>
      <c r="K6" t="s">
        <v>6</v>
      </c>
      <c r="L6" s="14">
        <v>0.46041149481925397</v>
      </c>
      <c r="V6" s="38">
        <f>_xlfn.COVARIANCE.S(B2:B26,C2:C26)/(_xlfn.STDEV.S(B2:B26)*_xlfn.STDEV.S(C2:C26))</f>
        <v>0.69490600026319027</v>
      </c>
      <c r="W6" t="str">
        <f t="shared" ca="1" si="0"/>
        <v>=COVARIANCE.S(B2:B26,C2:C26)/(STDEV.S(B2:B26)*STDEV.S(C2:C26))</v>
      </c>
    </row>
    <row r="7" spans="2:23" x14ac:dyDescent="0.25">
      <c r="B7" s="1">
        <v>75.337999999999994</v>
      </c>
      <c r="C7" s="2">
        <v>7380</v>
      </c>
      <c r="D7" s="3"/>
      <c r="E7" s="8"/>
      <c r="K7" t="s">
        <v>7</v>
      </c>
      <c r="L7" s="15">
        <v>221.82744195497548</v>
      </c>
      <c r="V7" s="38">
        <f>SQRT(L5)</f>
        <v>0.69490600026319027</v>
      </c>
      <c r="W7" t="str">
        <f t="shared" ca="1" si="0"/>
        <v>=SQRT(L5)</v>
      </c>
    </row>
    <row r="8" spans="2:23" ht="15.75" thickBot="1" x14ac:dyDescent="0.3">
      <c r="B8" s="1">
        <v>75.174999999999997</v>
      </c>
      <c r="C8" s="2">
        <v>7350</v>
      </c>
      <c r="D8" s="3"/>
      <c r="E8" s="8"/>
      <c r="K8" s="4" t="s">
        <v>8</v>
      </c>
      <c r="L8" s="28">
        <v>25</v>
      </c>
      <c r="V8" s="38">
        <f>L18/(_xlfn.STDEV.S(C2:C26)/_xlfn.STDEV.S(B2:B26))</f>
        <v>0.69490600026319049</v>
      </c>
      <c r="W8" t="str">
        <f t="shared" ca="1" si="0"/>
        <v>=L18/(STDEV.S(C2:C26)/STDEV.S(B2:B26))</v>
      </c>
    </row>
    <row r="9" spans="2:23" x14ac:dyDescent="0.25">
      <c r="B9" s="1">
        <v>75.302999999999997</v>
      </c>
      <c r="C9" s="2">
        <v>7260</v>
      </c>
      <c r="D9" s="3"/>
      <c r="E9" s="8"/>
      <c r="V9" s="41"/>
      <c r="W9" s="69"/>
    </row>
    <row r="10" spans="2:23" ht="15.75" thickBot="1" x14ac:dyDescent="0.3">
      <c r="B10" s="1">
        <v>75.375</v>
      </c>
      <c r="C10" s="2">
        <v>7450</v>
      </c>
      <c r="D10" s="3"/>
      <c r="E10" s="8"/>
      <c r="K10" t="s">
        <v>9</v>
      </c>
      <c r="U10" t="str">
        <f>K5</f>
        <v>R Square</v>
      </c>
      <c r="V10" s="42">
        <f>RSQ(C2:C26,B2:B26)</f>
        <v>0.48289434920178498</v>
      </c>
      <c r="W10" t="str">
        <f ca="1">_xlfn.FORMULATEXT(V10)</f>
        <v>=RSQ(C2:C26,B2:B26)</v>
      </c>
    </row>
    <row r="11" spans="2:23" x14ac:dyDescent="0.25">
      <c r="B11" s="1">
        <v>75.561000000000007</v>
      </c>
      <c r="C11" s="2">
        <v>7250</v>
      </c>
      <c r="D11" s="3"/>
      <c r="E11" s="8"/>
      <c r="K11" s="5"/>
      <c r="L11" s="5" t="s">
        <v>14</v>
      </c>
      <c r="M11" s="5" t="s">
        <v>15</v>
      </c>
      <c r="N11" s="5" t="s">
        <v>16</v>
      </c>
      <c r="O11" s="5" t="s">
        <v>17</v>
      </c>
      <c r="P11" s="5" t="s">
        <v>18</v>
      </c>
      <c r="V11" s="42">
        <f>DEVSQ(L25:L49,AVERAGE(C2:C26))/DEVSQ(C2:C26)</f>
        <v>0.48289434920178553</v>
      </c>
      <c r="W11" t="str">
        <f t="shared" ref="W11:W14" ca="1" si="1">_xlfn.FORMULATEXT(V11)</f>
        <v>=DEVSQ(L25:L49,AVERAGE(C2:C26))/DEVSQ(C2:C26)</v>
      </c>
    </row>
    <row r="12" spans="2:23" x14ac:dyDescent="0.25">
      <c r="B12" s="1">
        <v>75.593999999999994</v>
      </c>
      <c r="C12" s="2">
        <v>7600</v>
      </c>
      <c r="D12" s="3"/>
      <c r="E12" s="8"/>
      <c r="K12" t="s">
        <v>10</v>
      </c>
      <c r="L12" s="30">
        <v>1</v>
      </c>
      <c r="M12" s="19">
        <v>1056893.4779013756</v>
      </c>
      <c r="N12" s="22">
        <v>1056893.4779013756</v>
      </c>
      <c r="O12" s="24">
        <v>21.478338158743234</v>
      </c>
      <c r="P12" s="25">
        <v>1.1575549852591637E-4</v>
      </c>
      <c r="V12" s="42">
        <f>M12/M14</f>
        <v>0.48289434920178503</v>
      </c>
      <c r="W12" t="str">
        <f t="shared" ca="1" si="1"/>
        <v>=M12/M14</v>
      </c>
    </row>
    <row r="13" spans="2:23" x14ac:dyDescent="0.25">
      <c r="B13" s="1">
        <v>75.632000000000005</v>
      </c>
      <c r="C13" s="2">
        <v>7650</v>
      </c>
      <c r="D13" s="3"/>
      <c r="E13" s="8"/>
      <c r="K13" t="s">
        <v>11</v>
      </c>
      <c r="L13" s="31">
        <v>23</v>
      </c>
      <c r="M13" s="17">
        <v>1131770.5220986244</v>
      </c>
      <c r="N13" s="23">
        <v>49207.414004288017</v>
      </c>
      <c r="V13" s="42">
        <f>1-(M13/M14)</f>
        <v>0.48289434920178498</v>
      </c>
      <c r="W13" t="str">
        <f t="shared" ca="1" si="1"/>
        <v>=1-(M13/M14)</v>
      </c>
    </row>
    <row r="14" spans="2:23" ht="15.75" thickBot="1" x14ac:dyDescent="0.3">
      <c r="B14" s="1">
        <v>75.549000000000007</v>
      </c>
      <c r="C14" s="2">
        <v>7520</v>
      </c>
      <c r="D14" s="3"/>
      <c r="E14" s="8"/>
      <c r="K14" s="4" t="s">
        <v>12</v>
      </c>
      <c r="L14" s="32">
        <v>24</v>
      </c>
      <c r="M14" s="16">
        <v>2188664</v>
      </c>
      <c r="N14" s="4"/>
      <c r="O14" s="4"/>
      <c r="P14" s="4"/>
      <c r="V14" s="42">
        <f>(M14-M13)/M14</f>
        <v>0.48289434920178503</v>
      </c>
      <c r="W14" t="str">
        <f t="shared" ca="1" si="1"/>
        <v>=(M14-M13)/M14</v>
      </c>
    </row>
    <row r="15" spans="2:23" ht="15.75" thickBot="1" x14ac:dyDescent="0.3">
      <c r="B15" s="1">
        <v>75.519000000000005</v>
      </c>
      <c r="C15" s="2">
        <v>7690</v>
      </c>
      <c r="D15" s="3"/>
      <c r="E15" s="8"/>
      <c r="V15" s="41"/>
    </row>
    <row r="16" spans="2:23" x14ac:dyDescent="0.25">
      <c r="B16" s="1">
        <v>75.557000000000002</v>
      </c>
      <c r="C16" s="2">
        <v>7670</v>
      </c>
      <c r="D16" s="3"/>
      <c r="E16" s="8"/>
      <c r="K16" s="5"/>
      <c r="L16" s="5" t="s">
        <v>19</v>
      </c>
      <c r="M16" s="5" t="s">
        <v>7</v>
      </c>
      <c r="N16" s="5" t="s">
        <v>20</v>
      </c>
      <c r="O16" s="5" t="s">
        <v>21</v>
      </c>
      <c r="P16" s="5" t="s">
        <v>22</v>
      </c>
      <c r="Q16" s="5" t="s">
        <v>23</v>
      </c>
      <c r="R16" s="5" t="s">
        <v>24</v>
      </c>
      <c r="S16" s="5" t="s">
        <v>25</v>
      </c>
      <c r="U16" t="str">
        <f>K6</f>
        <v>Adjusted R Square</v>
      </c>
      <c r="V16" s="43">
        <f>1-(1-RSQ(C2:C26,B2:B26))*(L14/L13)</f>
        <v>0.46041149481925392</v>
      </c>
      <c r="W16" t="str">
        <f ca="1">_xlfn.FORMULATEXT(V16)</f>
        <v>=1-(1-RSQ(C2:C26,B2:B26))*(L14/L13)</v>
      </c>
    </row>
    <row r="17" spans="1:23" x14ac:dyDescent="0.25">
      <c r="B17" s="1">
        <v>75.552999999999997</v>
      </c>
      <c r="C17" s="2">
        <v>7790</v>
      </c>
      <c r="D17" s="3"/>
      <c r="E17" s="8"/>
      <c r="K17" t="s">
        <v>13</v>
      </c>
      <c r="L17" s="48">
        <v>-36223.992908239306</v>
      </c>
      <c r="M17" s="50">
        <v>9449.4622040887025</v>
      </c>
      <c r="N17" s="56">
        <v>-3.8334449226714185</v>
      </c>
      <c r="O17" s="59">
        <v>8.4997727861107597E-4</v>
      </c>
      <c r="P17" s="63">
        <v>-55771.694811094567</v>
      </c>
      <c r="Q17" s="67">
        <v>-16676.29100538405</v>
      </c>
      <c r="R17">
        <v>-55771.694811094567</v>
      </c>
      <c r="S17">
        <v>-16676.29100538405</v>
      </c>
      <c r="V17" s="43">
        <f>1-((M13/L13)/(M14/L14))</f>
        <v>0.46041149481925392</v>
      </c>
      <c r="W17" t="str">
        <f t="shared" ref="W17:W20" ca="1" si="2">_xlfn.FORMULATEXT(V17)</f>
        <v>=1-((M13/L13)/(M14/L14))</v>
      </c>
    </row>
    <row r="18" spans="1:23" ht="15.75" thickBot="1" x14ac:dyDescent="0.3">
      <c r="B18" s="1">
        <v>75.712000000000003</v>
      </c>
      <c r="C18" s="2">
        <v>7430</v>
      </c>
      <c r="D18" s="3"/>
      <c r="E18" s="8"/>
      <c r="K18" s="4" t="s">
        <v>26</v>
      </c>
      <c r="L18" s="51">
        <v>579.3908370828733</v>
      </c>
      <c r="M18" s="52">
        <v>125.01763668746315</v>
      </c>
      <c r="N18" s="57">
        <v>4.6344728026759681</v>
      </c>
      <c r="O18" s="61">
        <v>1.1575549852591607E-4</v>
      </c>
      <c r="P18" s="64">
        <v>320.77215151274896</v>
      </c>
      <c r="Q18" s="68">
        <v>838.0095226529977</v>
      </c>
      <c r="R18" s="4">
        <v>320.77215151274896</v>
      </c>
      <c r="S18" s="4">
        <v>838.0095226529977</v>
      </c>
      <c r="V18" s="43">
        <f>1-((M13/M14)*(L14/L13))</f>
        <v>0.46041149481925392</v>
      </c>
      <c r="W18" t="str">
        <f t="shared" ca="1" si="2"/>
        <v>=1-((M13/M14)*(L14/L13))</v>
      </c>
    </row>
    <row r="19" spans="1:23" x14ac:dyDescent="0.25">
      <c r="B19" s="1">
        <v>75.760999999999996</v>
      </c>
      <c r="C19" s="2">
        <v>7720</v>
      </c>
      <c r="D19" s="3"/>
      <c r="E19" s="8"/>
      <c r="V19" s="41"/>
    </row>
    <row r="20" spans="1:23" x14ac:dyDescent="0.25">
      <c r="B20" s="1">
        <v>75.832999999999998</v>
      </c>
      <c r="C20" s="2">
        <v>7540</v>
      </c>
      <c r="D20" s="3"/>
      <c r="E20" s="8"/>
      <c r="U20" t="str">
        <f>K7</f>
        <v>Standard Error</v>
      </c>
      <c r="V20" s="39">
        <f>STEYX(C2:C26,B2:B26)</f>
        <v>221.82744195497551</v>
      </c>
      <c r="W20" t="str">
        <f t="shared" ca="1" si="2"/>
        <v>=STEYX(C2:C26,B2:B26)</v>
      </c>
    </row>
    <row r="21" spans="1:23" x14ac:dyDescent="0.25">
      <c r="B21" s="1">
        <v>76.105999999999995</v>
      </c>
      <c r="C21" s="2">
        <v>7330</v>
      </c>
      <c r="D21" s="3"/>
      <c r="E21" s="8"/>
      <c r="V21" s="39" cm="1">
        <f t="array" ref="V21">SQRT(SUMSQ(C2:C26-L25:L49)/(COUNT(C2:C26)-2))</f>
        <v>221.82744195497503</v>
      </c>
      <c r="W21" t="str">
        <f ca="1">_xlfn.FORMULATEXT(V21)</f>
        <v>=SQRT(SUMSQ(C2:C26-L25:L49)/(COUNT(C2:C26)-2))</v>
      </c>
    </row>
    <row r="22" spans="1:23" x14ac:dyDescent="0.25">
      <c r="B22" s="1">
        <v>76.126999999999995</v>
      </c>
      <c r="C22" s="2">
        <v>7830</v>
      </c>
      <c r="D22" s="3"/>
      <c r="E22" s="8"/>
      <c r="K22" t="s">
        <v>27</v>
      </c>
      <c r="V22" s="40">
        <f>SQRT(N13)</f>
        <v>221.82744195497548</v>
      </c>
      <c r="W22" t="str">
        <f ca="1">_xlfn.FORMULATEXT(V22)</f>
        <v>=SQRT(N13)</v>
      </c>
    </row>
    <row r="23" spans="1:23" ht="15.75" thickBot="1" x14ac:dyDescent="0.3">
      <c r="B23" s="1">
        <v>76.057000000000002</v>
      </c>
      <c r="C23" s="2">
        <v>7680</v>
      </c>
      <c r="D23" s="3"/>
      <c r="E23" s="8"/>
      <c r="U23" s="27"/>
      <c r="V23" s="39">
        <f>SQRT(M13/L13)</f>
        <v>221.82744195497548</v>
      </c>
      <c r="W23" t="str">
        <f t="shared" ref="W23:W25" ca="1" si="3">_xlfn.FORMULATEXT(V23)</f>
        <v>=SQRT(M13/L13)</v>
      </c>
    </row>
    <row r="24" spans="1:23" x14ac:dyDescent="0.25">
      <c r="B24" s="1">
        <v>76.113</v>
      </c>
      <c r="C24" s="2">
        <v>8300</v>
      </c>
      <c r="D24" s="3"/>
      <c r="E24" s="8"/>
      <c r="K24" s="5" t="s">
        <v>28</v>
      </c>
      <c r="L24" s="5" t="s">
        <v>29</v>
      </c>
      <c r="M24" s="5" t="s">
        <v>30</v>
      </c>
      <c r="N24" s="5" t="s">
        <v>31</v>
      </c>
    </row>
    <row r="25" spans="1:23" x14ac:dyDescent="0.25">
      <c r="B25" s="1">
        <v>76.049000000000007</v>
      </c>
      <c r="C25" s="2">
        <v>8010</v>
      </c>
      <c r="D25" s="3"/>
      <c r="E25" s="8"/>
      <c r="K25">
        <v>1</v>
      </c>
      <c r="L25">
        <v>7290.5765200328096</v>
      </c>
      <c r="M25">
        <v>-240.57652003280964</v>
      </c>
      <c r="N25">
        <v>-1.1078467047375107</v>
      </c>
      <c r="O25">
        <f>M25/_xlfn.STDEV.S($M$25:$M$49)</f>
        <v>-1.1078467047375107</v>
      </c>
      <c r="P25" t="str">
        <f ca="1">_xlfn.FORMULATEXT(O25)</f>
        <v>=M25/STDEV.S($M$25:$M$49)</v>
      </c>
      <c r="U25" t="str">
        <f>K8</f>
        <v>Observations</v>
      </c>
      <c r="V25" s="29">
        <f>COUNT(B2:B26)</f>
        <v>25</v>
      </c>
      <c r="W25" t="str">
        <f t="shared" ca="1" si="3"/>
        <v>=COUNT(B2:B26)</v>
      </c>
    </row>
    <row r="26" spans="1:23" x14ac:dyDescent="0.25">
      <c r="B26" s="1">
        <v>76.102000000000004</v>
      </c>
      <c r="C26" s="2">
        <v>8120</v>
      </c>
      <c r="D26" s="3"/>
      <c r="E26" s="8"/>
      <c r="K26">
        <v>2</v>
      </c>
      <c r="L26">
        <v>7383.2790539660709</v>
      </c>
      <c r="M26">
        <v>386.72094603392907</v>
      </c>
      <c r="N26">
        <v>1.7808368233867229</v>
      </c>
      <c r="O26">
        <f t="shared" ref="O26:O49" si="4">M26/_xlfn.STDEV.S($M$25:$M$49)</f>
        <v>1.7808368233867229</v>
      </c>
      <c r="P26" t="str">
        <f t="shared" ref="P26:P49" ca="1" si="5">_xlfn.FORMULATEXT(O26)</f>
        <v>=M26/STDEV.S($M$25:$M$49)</v>
      </c>
    </row>
    <row r="27" spans="1:23" x14ac:dyDescent="0.25">
      <c r="A27" t="s">
        <v>41</v>
      </c>
      <c r="B27" s="1">
        <f>SUM(B2:B26)</f>
        <v>1889.605</v>
      </c>
      <c r="C27" s="1">
        <f>SUM(C2:C26)</f>
        <v>189220</v>
      </c>
      <c r="K27">
        <v>3</v>
      </c>
      <c r="L27">
        <v>7310.2758084936286</v>
      </c>
      <c r="M27">
        <v>-110.27580849362857</v>
      </c>
      <c r="N27">
        <v>-0.5078163531306793</v>
      </c>
      <c r="O27">
        <f t="shared" si="4"/>
        <v>-0.5078163531306793</v>
      </c>
      <c r="P27" t="str">
        <f t="shared" ca="1" si="5"/>
        <v>=M27/STDEV.S($M$25:$M$49)</v>
      </c>
      <c r="U27" t="str">
        <f>K12</f>
        <v>Regression</v>
      </c>
      <c r="V27" s="30">
        <v>1</v>
      </c>
      <c r="W27" s="10" t="s">
        <v>40</v>
      </c>
    </row>
    <row r="28" spans="1:23" x14ac:dyDescent="0.25">
      <c r="K28">
        <v>4</v>
      </c>
      <c r="L28">
        <v>7234.3756088357768</v>
      </c>
      <c r="M28">
        <v>-24.375608835776802</v>
      </c>
      <c r="N28">
        <v>-0.11224885088953418</v>
      </c>
      <c r="U28" t="str">
        <f>K13</f>
        <v>Residual</v>
      </c>
      <c r="V28" s="31">
        <f>L8-2</f>
        <v>23</v>
      </c>
      <c r="W28" t="str">
        <f ca="1">_xlfn.FORMULATEXT(V28)</f>
        <v>=L8-2</v>
      </c>
    </row>
    <row r="29" spans="1:23" x14ac:dyDescent="0.25">
      <c r="B29" s="3"/>
      <c r="C29" s="3"/>
      <c r="D29" s="3"/>
      <c r="K29">
        <v>5</v>
      </c>
      <c r="L29">
        <v>7274.3535765944835</v>
      </c>
      <c r="M29">
        <v>145.64642340551654</v>
      </c>
      <c r="N29">
        <v>0.67069683360870147</v>
      </c>
      <c r="U29" t="str">
        <f>K14</f>
        <v>Total</v>
      </c>
      <c r="V29" s="33">
        <f>L8-1</f>
        <v>24</v>
      </c>
      <c r="W29" t="str">
        <f ca="1">_xlfn.FORMULATEXT(V29)</f>
        <v>=L8-1</v>
      </c>
    </row>
    <row r="30" spans="1:23" x14ac:dyDescent="0.25">
      <c r="A30" t="s">
        <v>43</v>
      </c>
      <c r="B30" s="1">
        <f>MIN(B2:B26)</f>
        <v>75.007000000000005</v>
      </c>
      <c r="K30">
        <v>6</v>
      </c>
      <c r="L30">
        <v>7426.1539759102016</v>
      </c>
      <c r="M30">
        <v>-46.153975910201552</v>
      </c>
      <c r="N30">
        <v>-0.21253749167074976</v>
      </c>
    </row>
    <row r="31" spans="1:23" x14ac:dyDescent="0.25">
      <c r="A31" t="s">
        <v>44</v>
      </c>
      <c r="B31" s="1">
        <f>MAX(B2:B26)</f>
        <v>76.126999999999995</v>
      </c>
      <c r="K31">
        <v>7</v>
      </c>
      <c r="L31">
        <v>7331.7132694656902</v>
      </c>
      <c r="M31">
        <v>18.286730534309754</v>
      </c>
      <c r="N31">
        <v>8.4209773090470286E-2</v>
      </c>
      <c r="U31" t="str">
        <f>M11&amp;"R"</f>
        <v>SSR</v>
      </c>
      <c r="V31" s="34" cm="1">
        <f t="array" ref="V31">SUM((L25:L49-AVERAGE($C$2:$C$26))^2)</f>
        <v>1056893.4779013768</v>
      </c>
      <c r="W31" t="str">
        <f t="shared" ref="W31" ca="1" si="6">_xlfn.FORMULATEXT(V31)</f>
        <v>=SUM((L25:L49-AVERAGE($C$2:$C$26))^2)</v>
      </c>
    </row>
    <row r="32" spans="1:23" x14ac:dyDescent="0.25">
      <c r="B32" s="1"/>
      <c r="C32" s="1"/>
      <c r="D32" s="1"/>
      <c r="K32">
        <v>8</v>
      </c>
      <c r="L32">
        <v>7405.8752966122993</v>
      </c>
      <c r="M32">
        <v>-145.87529661229928</v>
      </c>
      <c r="N32">
        <v>-0.67175078695336865</v>
      </c>
      <c r="V32" s="45"/>
    </row>
    <row r="33" spans="11:23" x14ac:dyDescent="0.25">
      <c r="K33">
        <v>9</v>
      </c>
      <c r="L33">
        <v>7447.5914368822705</v>
      </c>
      <c r="M33">
        <v>2.4085631177294999</v>
      </c>
      <c r="N33">
        <v>1.109135136199089E-2</v>
      </c>
      <c r="U33" t="str">
        <f>M11&amp;"E"</f>
        <v>SSE</v>
      </c>
      <c r="V33" s="35" cm="1">
        <f t="array" ref="V33">SUM((C2:C26-L25:L49)^2)</f>
        <v>1131770.52209862</v>
      </c>
      <c r="W33" t="str">
        <f t="shared" ref="W33:W43" ca="1" si="7">_xlfn.FORMULATEXT(V33)</f>
        <v>=SUM((C2:C26-L25:L49)^2)</v>
      </c>
    </row>
    <row r="34" spans="11:23" x14ac:dyDescent="0.25">
      <c r="K34">
        <v>10</v>
      </c>
      <c r="L34">
        <v>7555.358132579684</v>
      </c>
      <c r="M34">
        <v>-305.35813257968402</v>
      </c>
      <c r="N34">
        <v>-1.4061638305228921</v>
      </c>
      <c r="V34" s="45"/>
    </row>
    <row r="35" spans="11:23" x14ac:dyDescent="0.25">
      <c r="K35">
        <v>11</v>
      </c>
      <c r="L35">
        <v>7574.4780302034123</v>
      </c>
      <c r="M35">
        <v>25.521969796587655</v>
      </c>
      <c r="N35">
        <v>0.11752780418348335</v>
      </c>
      <c r="U35" t="str">
        <f>M11&amp;"T"</f>
        <v>SST</v>
      </c>
      <c r="V35" s="36">
        <f>DEVSQ(C2:C26)</f>
        <v>2188664</v>
      </c>
      <c r="W35" t="str">
        <f t="shared" ca="1" si="7"/>
        <v>=DEVSQ(C2:C26)</v>
      </c>
    </row>
    <row r="36" spans="11:23" x14ac:dyDescent="0.25">
      <c r="K36">
        <v>12</v>
      </c>
      <c r="L36">
        <v>7596.4948820125719</v>
      </c>
      <c r="M36">
        <v>53.505117987428093</v>
      </c>
      <c r="N36">
        <v>0.24638925129052489</v>
      </c>
    </row>
    <row r="37" spans="11:23" x14ac:dyDescent="0.25">
      <c r="K37">
        <v>13</v>
      </c>
      <c r="L37">
        <v>7548.4054425346912</v>
      </c>
      <c r="M37">
        <v>-28.405442534691247</v>
      </c>
      <c r="N37">
        <v>-0.13080609821929723</v>
      </c>
      <c r="U37" t="str">
        <f>N11&amp;"R"</f>
        <v>MSR</v>
      </c>
      <c r="V37" s="22">
        <f>M12/L12</f>
        <v>1056893.4779013756</v>
      </c>
      <c r="W37" t="str">
        <f t="shared" ca="1" si="7"/>
        <v>=M12/L12</v>
      </c>
    </row>
    <row r="38" spans="11:23" x14ac:dyDescent="0.25">
      <c r="K38">
        <v>14</v>
      </c>
      <c r="L38">
        <v>7531.0237174222057</v>
      </c>
      <c r="M38">
        <v>158.97628257779434</v>
      </c>
      <c r="N38">
        <v>0.73208038241308626</v>
      </c>
    </row>
    <row r="39" spans="11:23" x14ac:dyDescent="0.25">
      <c r="K39">
        <v>15</v>
      </c>
      <c r="L39">
        <v>7553.0405692313507</v>
      </c>
      <c r="M39">
        <v>116.95943076864933</v>
      </c>
      <c r="N39">
        <v>0.53859420673036629</v>
      </c>
      <c r="U39" t="str">
        <f>N11&amp;"E"</f>
        <v>MSE</v>
      </c>
      <c r="V39" s="46">
        <f>M13/L13</f>
        <v>49207.414004288017</v>
      </c>
      <c r="W39" t="str">
        <f t="shared" ca="1" si="7"/>
        <v>=M13/L13</v>
      </c>
    </row>
    <row r="40" spans="11:23" x14ac:dyDescent="0.25">
      <c r="K40">
        <v>16</v>
      </c>
      <c r="L40">
        <v>7550.7230058830173</v>
      </c>
      <c r="M40">
        <v>239.27699411698268</v>
      </c>
      <c r="N40">
        <v>1.1018624320272166</v>
      </c>
    </row>
    <row r="41" spans="11:23" x14ac:dyDescent="0.25">
      <c r="K41">
        <v>17</v>
      </c>
      <c r="L41">
        <v>7642.8461489792026</v>
      </c>
      <c r="M41">
        <v>-212.84614897920255</v>
      </c>
      <c r="N41">
        <v>-0.98014928776308052</v>
      </c>
      <c r="U41" t="str">
        <f>O11</f>
        <v>F</v>
      </c>
      <c r="V41" s="47">
        <f>N12/N13</f>
        <v>21.478338158743234</v>
      </c>
      <c r="W41" t="str">
        <f t="shared" ca="1" si="7"/>
        <v>=N12/N13</v>
      </c>
    </row>
    <row r="42" spans="11:23" x14ac:dyDescent="0.25">
      <c r="K42">
        <v>18</v>
      </c>
      <c r="L42">
        <v>7671.236299996257</v>
      </c>
      <c r="M42">
        <v>48.763700003742997</v>
      </c>
      <c r="N42">
        <v>0.2245551824948987</v>
      </c>
    </row>
    <row r="43" spans="11:23" x14ac:dyDescent="0.25">
      <c r="K43">
        <v>19</v>
      </c>
      <c r="L43">
        <v>7712.9524402662209</v>
      </c>
      <c r="M43">
        <v>-172.95244026622095</v>
      </c>
      <c r="N43">
        <v>-0.79644011393594494</v>
      </c>
      <c r="U43" t="str">
        <f>P11</f>
        <v>Significance F</v>
      </c>
      <c r="V43" s="26">
        <f>_xlfn.F.DIST.RT(O12,L12,L13)</f>
        <v>1.1575549852591637E-4</v>
      </c>
      <c r="W43" t="str">
        <f t="shared" ca="1" si="7"/>
        <v>=F.DIST.RT(O12,L12,L13)</v>
      </c>
    </row>
    <row r="44" spans="11:23" x14ac:dyDescent="0.25">
      <c r="K44">
        <v>20</v>
      </c>
      <c r="L44">
        <v>7871.1261387898485</v>
      </c>
      <c r="M44">
        <v>-541.12613878984848</v>
      </c>
      <c r="N44">
        <v>-2.4918674924049498</v>
      </c>
    </row>
    <row r="45" spans="11:23" x14ac:dyDescent="0.25">
      <c r="K45">
        <v>21</v>
      </c>
      <c r="L45">
        <v>7883.293346368584</v>
      </c>
      <c r="M45">
        <v>-53.293346368584025</v>
      </c>
      <c r="N45">
        <v>-0.24541405017754289</v>
      </c>
      <c r="Q45" s="1"/>
      <c r="U45" t="str">
        <f>K17</f>
        <v>Intercept</v>
      </c>
      <c r="V45" s="49">
        <f>INTERCEPT(C2:C26,B2:B26)</f>
        <v>-36223.992908239292</v>
      </c>
      <c r="W45" t="str">
        <f ca="1">_xlfn.FORMULATEXT(V45)</f>
        <v>=INTERCEPT(C2:C26,B2:B26)</v>
      </c>
    </row>
    <row r="46" spans="11:23" x14ac:dyDescent="0.25">
      <c r="K46">
        <v>22</v>
      </c>
      <c r="L46">
        <v>7842.7359877727868</v>
      </c>
      <c r="M46">
        <v>-162.73598777278676</v>
      </c>
      <c r="N46">
        <v>-0.74939369715589166</v>
      </c>
      <c r="O46">
        <f t="shared" si="4"/>
        <v>-0.74939369715589166</v>
      </c>
      <c r="P46" t="str">
        <f t="shared" ca="1" si="5"/>
        <v>=M46/STDEV.S($M$25:$M$49)</v>
      </c>
      <c r="V46" s="49">
        <f>(C27/COUNT(C2:C26))-(V48*(B27/COUNT(B2:B26)))</f>
        <v>-36223.992908239292</v>
      </c>
      <c r="W46" t="str">
        <f ca="1">_xlfn.FORMULATEXT(V46)</f>
        <v>=(C27/COUNT(C2:C26))-(V48*(B27/COUNT(B2:B26)))</v>
      </c>
    </row>
    <row r="47" spans="11:23" x14ac:dyDescent="0.25">
      <c r="K47">
        <v>23</v>
      </c>
      <c r="L47">
        <v>7875.1818746494318</v>
      </c>
      <c r="M47">
        <v>424.81812535056815</v>
      </c>
      <c r="N47">
        <v>1.9562730403541007</v>
      </c>
      <c r="O47">
        <f t="shared" si="4"/>
        <v>1.9562730403541007</v>
      </c>
      <c r="P47" t="str">
        <f t="shared" ca="1" si="5"/>
        <v>=M47/STDEV.S($M$25:$M$49)</v>
      </c>
      <c r="Q47" s="1"/>
    </row>
    <row r="48" spans="11:23" x14ac:dyDescent="0.25">
      <c r="K48">
        <v>24</v>
      </c>
      <c r="L48">
        <v>7838.1008610761273</v>
      </c>
      <c r="M48">
        <v>171.89913892387267</v>
      </c>
      <c r="N48">
        <v>0.79158969702469772</v>
      </c>
      <c r="O48">
        <f t="shared" si="4"/>
        <v>0.79158969702469772</v>
      </c>
      <c r="P48" t="str">
        <f t="shared" ca="1" si="5"/>
        <v>=M48/STDEV.S($M$25:$M$49)</v>
      </c>
      <c r="Q48" s="10"/>
      <c r="U48" t="str">
        <f>K18</f>
        <v>X Variable 1</v>
      </c>
      <c r="V48" s="53">
        <f>SLOPE(C2:C26,B2:B26)</f>
        <v>579.39083708287308</v>
      </c>
      <c r="W48" t="str">
        <f ca="1">_xlfn.FORMULATEXT(V48)</f>
        <v>=SLOPE(C2:C26,B2:B26)</v>
      </c>
    </row>
    <row r="49" spans="11:23" ht="15.75" thickBot="1" x14ac:dyDescent="0.3">
      <c r="K49" s="4">
        <v>25</v>
      </c>
      <c r="L49" s="4">
        <v>7868.8085754415224</v>
      </c>
      <c r="M49" s="4">
        <v>251.19142455847759</v>
      </c>
      <c r="N49" s="4">
        <v>1.1567279795945116</v>
      </c>
      <c r="O49">
        <f t="shared" si="4"/>
        <v>1.1567279795945116</v>
      </c>
      <c r="P49" t="str">
        <f t="shared" ca="1" si="5"/>
        <v>=M49/STDEV.S($M$25:$M$49)</v>
      </c>
      <c r="Q49" s="10"/>
      <c r="V49" s="54">
        <f>(SUMPRODUCT(B2:B26,C2:C26)-(B27*C27)/COUNT(B2:B26))/(SUMSQ(B2:B26)-(B27^2)/COUNT(B2:B26))</f>
        <v>579.39083708532257</v>
      </c>
      <c r="W49" t="str">
        <f ca="1">_xlfn.FORMULATEXT(V49)</f>
        <v>=(SUMPRODUCT(B2:B26,C2:C26)-(B27*C27)/COUNT(B2:B26))/(SUMSQ(B2:B26)-(B27^2)/COUNT(B2:B26))</v>
      </c>
    </row>
    <row r="50" spans="11:23" x14ac:dyDescent="0.25">
      <c r="V50" s="54">
        <f>L4*(_xlfn.STDEV.S(C2:C26)/_xlfn.STDEV.S(B2:B26))</f>
        <v>579.39083708287296</v>
      </c>
      <c r="W50" t="str">
        <f ca="1">_xlfn.FORMULATEXT(V50)</f>
        <v>=L4*(STDEV.S(C2:C26)/STDEV.S(B2:B26))</v>
      </c>
    </row>
    <row r="52" spans="11:23" x14ac:dyDescent="0.25">
      <c r="U52" t="str">
        <f>M16</f>
        <v>Standard Error</v>
      </c>
      <c r="V52" s="50">
        <f>SQRT(N13*(1/COUNT(B2:B26)+((AVERAGE(B2:B26))^2/(SUMSQ(B2:B26)-(1/COUNT(B2:B26)*(SUM(B2:B26))^2)))))</f>
        <v>9449.4622041094117</v>
      </c>
      <c r="W52" t="str">
        <f ca="1">_xlfn.FORMULATEXT(V52)</f>
        <v>=SQRT(N13*(1/COUNT(B2:B26)+((AVERAGE(B2:B26))^2/(SUMSQ(B2:B26)-(1/COUNT(B2:B26)*(SUM(B2:B26))^2)))))</v>
      </c>
    </row>
    <row r="54" spans="11:23" x14ac:dyDescent="0.25">
      <c r="U54" t="str">
        <f>M16</f>
        <v>Standard Error</v>
      </c>
      <c r="V54" s="55">
        <f>SQRT(N13/(SUMSQ(B2:B26)-(1/COUNT(B2:B26)*(SUM(B2:B26))^2)))</f>
        <v>125.01763668773717</v>
      </c>
      <c r="W54" t="str">
        <f ca="1">_xlfn.FORMULATEXT(V54)</f>
        <v>=SQRT(N13/(SUMSQ(B2:B26)-(1/COUNT(B2:B26)*(SUM(B2:B26))^2)))</v>
      </c>
    </row>
    <row r="56" spans="11:23" x14ac:dyDescent="0.25">
      <c r="U56" t="str">
        <f>N16</f>
        <v>t Stat</v>
      </c>
      <c r="V56" s="56">
        <f>L17/M17</f>
        <v>-3.8334449226714185</v>
      </c>
      <c r="W56" t="str">
        <f ca="1">_xlfn.FORMULATEXT(V56)</f>
        <v>=L17/M17</v>
      </c>
    </row>
    <row r="58" spans="11:23" x14ac:dyDescent="0.25">
      <c r="U58" t="str">
        <f>N16</f>
        <v>t Stat</v>
      </c>
      <c r="V58" s="14">
        <f>L18/M18</f>
        <v>4.6344728026759681</v>
      </c>
      <c r="W58" t="str">
        <f t="shared" ref="W58:W70" ca="1" si="8">_xlfn.FORMULATEXT(V58)</f>
        <v>=L18/M18</v>
      </c>
    </row>
    <row r="60" spans="11:23" x14ac:dyDescent="0.25">
      <c r="U60" t="str">
        <f>O16</f>
        <v>P-value</v>
      </c>
      <c r="V60" s="60">
        <f>_xlfn.T.DIST.2T(ABS(N17),23)</f>
        <v>8.4997727861107597E-4</v>
      </c>
      <c r="W60" t="str">
        <f t="shared" ca="1" si="8"/>
        <v>=T.DIST.2T(ABS(N17),23)</v>
      </c>
    </row>
    <row r="61" spans="11:23" x14ac:dyDescent="0.25">
      <c r="V61" s="58"/>
    </row>
    <row r="62" spans="11:23" x14ac:dyDescent="0.25">
      <c r="U62" t="str">
        <f>O16</f>
        <v>P-value</v>
      </c>
      <c r="V62" s="62">
        <f>_xlfn.T.DIST.2T(N18,23)</f>
        <v>1.1575549852591607E-4</v>
      </c>
      <c r="W62" t="str">
        <f t="shared" ca="1" si="8"/>
        <v>=T.DIST.2T(N18,23)</v>
      </c>
    </row>
    <row r="64" spans="11:23" x14ac:dyDescent="0.25">
      <c r="U64" t="str">
        <f>P16</f>
        <v>Lower 95%</v>
      </c>
      <c r="V64" s="65">
        <f>L17+($V$70*M17)</f>
        <v>-16676.29100538405</v>
      </c>
      <c r="W64" t="str">
        <f t="shared" ca="1" si="8"/>
        <v>=L17+($V$70*M17)</v>
      </c>
    </row>
    <row r="65" spans="21:23" x14ac:dyDescent="0.25">
      <c r="V65" s="65">
        <f>L18+($V$70*M18)</f>
        <v>838.0095226529977</v>
      </c>
      <c r="W65" t="str">
        <f t="shared" ca="1" si="8"/>
        <v>=L18+($V$70*M18)</v>
      </c>
    </row>
    <row r="67" spans="21:23" x14ac:dyDescent="0.25">
      <c r="U67" t="str">
        <f>Q16</f>
        <v>Upper 95%</v>
      </c>
      <c r="V67" s="66">
        <f>L17-($V$70*M17)</f>
        <v>-55771.694811094567</v>
      </c>
      <c r="W67" t="str">
        <f t="shared" ca="1" si="8"/>
        <v>=L17-($V$70*M17)</v>
      </c>
    </row>
    <row r="68" spans="21:23" x14ac:dyDescent="0.25">
      <c r="V68" s="66">
        <f>L18-($V$70*M18)</f>
        <v>320.77215151274896</v>
      </c>
      <c r="W68" t="str">
        <f t="shared" ca="1" si="8"/>
        <v>=L18-($V$70*M18)</v>
      </c>
    </row>
    <row r="70" spans="21:23" x14ac:dyDescent="0.25">
      <c r="U70" t="s">
        <v>42</v>
      </c>
      <c r="V70" s="10">
        <f>_xlfn.T.INV.2T(0.05,23)</f>
        <v>2.0686576104190491</v>
      </c>
      <c r="W70" t="str">
        <f t="shared" ca="1" si="8"/>
        <v>=T.INV.2T(0.05,23)</v>
      </c>
    </row>
  </sheetData>
  <phoneticPr fontId="5" type="noConversion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</vt:lpstr>
      <vt:lpstr>Sheet2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Branko Pecar</dc:creator>
  <cp:lastModifiedBy>Branko Pecar</cp:lastModifiedBy>
  <dcterms:created xsi:type="dcterms:W3CDTF">2024-09-01T12:28:25Z</dcterms:created>
  <dcterms:modified xsi:type="dcterms:W3CDTF">2024-12-04T10:42:42Z</dcterms:modified>
</cp:coreProperties>
</file>